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epyd.sharepoint.com/sites/ModernizacinSectorAPSBM/Documentos compartidos/1. Programa por Resultados/003_Sección de Planificación y Presupuesto/01_Planificación/"/>
    </mc:Choice>
  </mc:AlternateContent>
  <xr:revisionPtr revIDLastSave="6591" documentId="14_{58F7FB82-0DDD-45D9-A799-3C0D135CFF06}" xr6:coauthVersionLast="47" xr6:coauthVersionMax="47" xr10:uidLastSave="{3AD239C2-AA07-4AB9-B06F-F8A797181F5B}"/>
  <bookViews>
    <workbookView xWindow="-60" yWindow="-16320" windowWidth="29040" windowHeight="15720" firstSheet="3" activeTab="3" xr2:uid="{5D718133-2F82-4F2C-9AFE-69FEE171C355}"/>
    <workbookView xWindow="-108" yWindow="-108" windowWidth="23256" windowHeight="13896" firstSheet="3" activeTab="3" xr2:uid="{76C7B99B-72EC-4992-9621-8556F1029B3A}"/>
  </bookViews>
  <sheets>
    <sheet name="Adquisiciones PEP (2)" sheetId="25" state="hidden" r:id="rId1"/>
    <sheet name="EDT" sheetId="28" state="hidden" r:id="rId2"/>
    <sheet name="Vinculación SIGEF-EDT" sheetId="1" state="hidden" r:id="rId3"/>
    <sheet name="Triple Restricción" sheetId="2" r:id="rId4"/>
    <sheet name="Resumen" sheetId="27" state="hidden" r:id="rId5"/>
    <sheet name="Adquisiciones PEP" sheetId="21" state="hidden" r:id="rId6"/>
    <sheet name="Presupuesto - Categoria de Inve" sheetId="4" state="hidden" r:id="rId7"/>
    <sheet name="Adquisiciones" sheetId="3" state="hidden" r:id="rId8"/>
    <sheet name="Gastos Operativos" sheetId="6" state="hidden" r:id="rId9"/>
    <sheet name="Plantilla Salarial" sheetId="7" state="hidden" r:id="rId10"/>
    <sheet name="Proyección de desembolso" sheetId="29" state="hidden" r:id="rId11"/>
    <sheet name="Adquisiciones 2026" sheetId="8" state="hidden" r:id="rId12"/>
  </sheets>
  <definedNames>
    <definedName name="_xlnm._FilterDatabase" localSheetId="7" hidden="1">Adquisiciones!$B$2:$H$55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29" l="1"/>
  <c r="G72" i="29"/>
  <c r="G73" i="29"/>
  <c r="G74" i="29"/>
  <c r="G75" i="29"/>
  <c r="G76" i="29"/>
  <c r="G77" i="29"/>
  <c r="G78" i="29"/>
  <c r="G79" i="29"/>
  <c r="G80" i="29"/>
  <c r="G81" i="29"/>
  <c r="G82" i="29"/>
  <c r="G83" i="29"/>
  <c r="G84" i="29"/>
  <c r="G85" i="29"/>
  <c r="G86" i="29"/>
  <c r="G87" i="29"/>
  <c r="G88" i="29"/>
  <c r="G89" i="29"/>
  <c r="G70" i="29"/>
  <c r="G15" i="29"/>
  <c r="R15" i="29" s="1"/>
  <c r="AN19" i="29"/>
  <c r="AN20" i="29"/>
  <c r="AN21" i="29"/>
  <c r="AN22" i="29"/>
  <c r="AN23" i="29"/>
  <c r="AN24" i="29"/>
  <c r="AN25" i="29"/>
  <c r="AN26" i="29"/>
  <c r="AN27" i="29"/>
  <c r="AN28" i="29"/>
  <c r="AN29" i="29"/>
  <c r="AN30" i="29"/>
  <c r="AN31" i="29"/>
  <c r="AN32" i="29"/>
  <c r="AN33" i="29"/>
  <c r="AN34" i="29"/>
  <c r="AN35" i="29"/>
  <c r="AN36" i="29"/>
  <c r="AN37" i="29"/>
  <c r="AN38" i="29"/>
  <c r="AN39" i="29"/>
  <c r="AN40" i="29"/>
  <c r="AN41" i="29"/>
  <c r="AN42" i="29"/>
  <c r="AN43" i="29"/>
  <c r="AN44" i="29"/>
  <c r="AN45" i="29"/>
  <c r="AN46" i="29"/>
  <c r="AN47" i="29"/>
  <c r="AN48" i="29"/>
  <c r="AN49" i="29"/>
  <c r="AN50" i="29"/>
  <c r="AN51" i="29"/>
  <c r="AN52" i="29"/>
  <c r="AN53" i="29"/>
  <c r="AN54" i="29"/>
  <c r="AN55" i="29"/>
  <c r="AN56" i="29"/>
  <c r="AN57" i="29"/>
  <c r="AN58" i="29"/>
  <c r="AN59" i="29"/>
  <c r="AN60" i="29"/>
  <c r="AN61" i="29"/>
  <c r="AN62" i="29"/>
  <c r="AN63" i="29"/>
  <c r="AN64" i="29"/>
  <c r="AN65" i="29"/>
  <c r="AN66" i="29"/>
  <c r="AN67" i="29"/>
  <c r="AN68" i="29"/>
  <c r="AN71" i="29"/>
  <c r="AN72" i="29"/>
  <c r="AN73" i="29"/>
  <c r="AN74" i="29"/>
  <c r="AN75" i="29"/>
  <c r="AN76" i="29"/>
  <c r="AN77" i="29"/>
  <c r="AN78" i="29"/>
  <c r="AN79" i="29"/>
  <c r="AN80" i="29"/>
  <c r="AN81" i="29"/>
  <c r="AN82" i="29"/>
  <c r="AN83" i="29"/>
  <c r="AN84" i="29"/>
  <c r="AN85" i="29"/>
  <c r="AN86" i="29"/>
  <c r="AN87" i="29"/>
  <c r="AN88" i="29"/>
  <c r="AN89" i="29"/>
  <c r="U18" i="29"/>
  <c r="AN18" i="29" s="1"/>
  <c r="AE17" i="29"/>
  <c r="AD17" i="29"/>
  <c r="S17" i="29"/>
  <c r="R17" i="29"/>
  <c r="AN17" i="29" s="1"/>
  <c r="R16" i="29"/>
  <c r="Q16" i="29"/>
  <c r="P16" i="29"/>
  <c r="O16" i="29"/>
  <c r="N16" i="29"/>
  <c r="AN16" i="29" s="1"/>
  <c r="P15" i="29" l="1"/>
  <c r="T15" i="29"/>
  <c r="Q15" i="29"/>
  <c r="S15" i="29"/>
  <c r="AM15" i="29" s="1"/>
  <c r="Q91" i="29"/>
  <c r="AK90" i="29"/>
  <c r="AJ90" i="29"/>
  <c r="AI91" i="29" s="1"/>
  <c r="AI90" i="29"/>
  <c r="AH90" i="29"/>
  <c r="AG90" i="29"/>
  <c r="AF90" i="29"/>
  <c r="AF91" i="29" s="1"/>
  <c r="AF92" i="29" s="1"/>
  <c r="AE90" i="29"/>
  <c r="AD90" i="29"/>
  <c r="AC90" i="29"/>
  <c r="AC91" i="29" s="1"/>
  <c r="AB90" i="29"/>
  <c r="AA90" i="29"/>
  <c r="Y90" i="29"/>
  <c r="X90" i="29"/>
  <c r="W90" i="29"/>
  <c r="W91" i="29" s="1"/>
  <c r="V90" i="29"/>
  <c r="U90" i="29"/>
  <c r="T90" i="29"/>
  <c r="T91" i="29" s="1"/>
  <c r="S90" i="29"/>
  <c r="R90" i="29"/>
  <c r="Q90" i="29"/>
  <c r="P90" i="29"/>
  <c r="O90" i="29"/>
  <c r="K90" i="29"/>
  <c r="J90" i="29"/>
  <c r="AM89" i="29"/>
  <c r="AL89" i="29"/>
  <c r="AM88" i="29"/>
  <c r="AL88" i="29"/>
  <c r="AM87" i="29"/>
  <c r="AL87" i="29"/>
  <c r="AM86" i="29"/>
  <c r="AL86" i="29"/>
  <c r="AM85" i="29"/>
  <c r="AL85" i="29"/>
  <c r="AM84" i="29"/>
  <c r="AL84" i="29"/>
  <c r="AM83" i="29"/>
  <c r="AL83" i="29"/>
  <c r="AM82" i="29"/>
  <c r="AL82" i="29"/>
  <c r="AM81" i="29"/>
  <c r="AL81" i="29"/>
  <c r="AM80" i="29"/>
  <c r="AL80" i="29"/>
  <c r="AM79" i="29"/>
  <c r="AL79" i="29"/>
  <c r="AM78" i="29"/>
  <c r="AL78" i="29"/>
  <c r="AM77" i="29"/>
  <c r="AL77" i="29"/>
  <c r="AM76" i="29"/>
  <c r="AL76" i="29"/>
  <c r="AM75" i="29"/>
  <c r="AL75" i="29"/>
  <c r="AM74" i="29"/>
  <c r="AL74" i="29"/>
  <c r="AM73" i="29"/>
  <c r="AL73" i="29"/>
  <c r="AM72" i="29"/>
  <c r="AL72" i="29"/>
  <c r="AM71" i="29"/>
  <c r="AL71" i="29"/>
  <c r="Z70" i="29"/>
  <c r="AL69" i="29"/>
  <c r="N69" i="29"/>
  <c r="AM68" i="29"/>
  <c r="AL68" i="29"/>
  <c r="AM67" i="29"/>
  <c r="AL67" i="29"/>
  <c r="AM66" i="29"/>
  <c r="AL66" i="29"/>
  <c r="AM65" i="29"/>
  <c r="AL65" i="29"/>
  <c r="AM64" i="29"/>
  <c r="AL64" i="29"/>
  <c r="AM63" i="29"/>
  <c r="AL63" i="29"/>
  <c r="AM62" i="29"/>
  <c r="AL62" i="29"/>
  <c r="AM61" i="29"/>
  <c r="AL61" i="29"/>
  <c r="AM60" i="29"/>
  <c r="AL60" i="29"/>
  <c r="AM59" i="29"/>
  <c r="AL59" i="29"/>
  <c r="AM58" i="29"/>
  <c r="AL58" i="29"/>
  <c r="AM57" i="29"/>
  <c r="AL57" i="29"/>
  <c r="AM56" i="29"/>
  <c r="AL56" i="29"/>
  <c r="AM55" i="29"/>
  <c r="AL55" i="29"/>
  <c r="AM54" i="29"/>
  <c r="AL54" i="29"/>
  <c r="AM53" i="29"/>
  <c r="AL53" i="29"/>
  <c r="AM52" i="29"/>
  <c r="AL52" i="29"/>
  <c r="AM51" i="29"/>
  <c r="AL51" i="29"/>
  <c r="AM50" i="29"/>
  <c r="AL50" i="29"/>
  <c r="AM49" i="29"/>
  <c r="AL49" i="29"/>
  <c r="AM48" i="29"/>
  <c r="AL48" i="29"/>
  <c r="AM47" i="29"/>
  <c r="AL47" i="29"/>
  <c r="AM46" i="29"/>
  <c r="AL46" i="29"/>
  <c r="AM45" i="29"/>
  <c r="AL45" i="29"/>
  <c r="AM44" i="29"/>
  <c r="AL44" i="29"/>
  <c r="AM43" i="29"/>
  <c r="AL43" i="29"/>
  <c r="AM42" i="29"/>
  <c r="AL42" i="29"/>
  <c r="AM41" i="29"/>
  <c r="AL41" i="29"/>
  <c r="AM40" i="29"/>
  <c r="AL40" i="29"/>
  <c r="AM39" i="29"/>
  <c r="AL39" i="29"/>
  <c r="AM38" i="29"/>
  <c r="AL38" i="29"/>
  <c r="AM37" i="29"/>
  <c r="AL37" i="29"/>
  <c r="AM36" i="29"/>
  <c r="AL36" i="29"/>
  <c r="AM35" i="29"/>
  <c r="AL35" i="29"/>
  <c r="AM34" i="29"/>
  <c r="AL34" i="29"/>
  <c r="AM33" i="29"/>
  <c r="AL33" i="29"/>
  <c r="AM32" i="29"/>
  <c r="AL32" i="29"/>
  <c r="AM31" i="29"/>
  <c r="AL31" i="29"/>
  <c r="AM30" i="29"/>
  <c r="AL30" i="29"/>
  <c r="AM29" i="29"/>
  <c r="AL29" i="29"/>
  <c r="AM28" i="29"/>
  <c r="AL28" i="29"/>
  <c r="AM27" i="29"/>
  <c r="AL27" i="29"/>
  <c r="AM26" i="29"/>
  <c r="AL26" i="29"/>
  <c r="AM25" i="29"/>
  <c r="AL25" i="29"/>
  <c r="AM24" i="29"/>
  <c r="AL24" i="29"/>
  <c r="AM23" i="29"/>
  <c r="AL23" i="29"/>
  <c r="AM22" i="29"/>
  <c r="AL22" i="29"/>
  <c r="AM21" i="29"/>
  <c r="AL21" i="29"/>
  <c r="AM20" i="29"/>
  <c r="AL20" i="29"/>
  <c r="AM19" i="29"/>
  <c r="AL19" i="29"/>
  <c r="AM18" i="29"/>
  <c r="AL18" i="29"/>
  <c r="AM17" i="29"/>
  <c r="AL17" i="29"/>
  <c r="AM16" i="29"/>
  <c r="AL16" i="29"/>
  <c r="AL15" i="29" l="1"/>
  <c r="AN15" i="29"/>
  <c r="AO15" i="29" s="1"/>
  <c r="T92" i="29"/>
  <c r="N90" i="29"/>
  <c r="N91" i="29" s="1"/>
  <c r="N92" i="29" s="1"/>
  <c r="N93" i="29" s="1"/>
  <c r="AN69" i="29"/>
  <c r="AM70" i="29"/>
  <c r="AN70" i="29"/>
  <c r="Z90" i="29"/>
  <c r="Z91" i="29" s="1"/>
  <c r="Z92" i="29" s="1"/>
  <c r="Z93" i="29" s="1"/>
  <c r="AM69" i="29"/>
  <c r="AL70" i="29"/>
  <c r="Y94" i="29" l="1"/>
  <c r="K97" i="29"/>
  <c r="L97" i="29" s="1"/>
  <c r="K94" i="29" l="1"/>
  <c r="L94" i="29" s="1"/>
  <c r="J120" i="21" l="1"/>
  <c r="I120" i="21"/>
  <c r="I129" i="2"/>
  <c r="J129" i="2" s="1"/>
  <c r="AO129" i="2" s="1"/>
  <c r="AP129" i="2"/>
  <c r="AP195" i="2"/>
  <c r="AP194" i="2"/>
  <c r="AP193" i="2"/>
  <c r="AP192" i="2"/>
  <c r="AP191" i="2"/>
  <c r="AP190" i="2"/>
  <c r="AP189" i="2"/>
  <c r="AP188" i="2"/>
  <c r="AP187" i="2"/>
  <c r="AP184" i="2"/>
  <c r="AP183" i="2"/>
  <c r="AP182" i="2"/>
  <c r="AP179" i="2"/>
  <c r="AP178" i="2"/>
  <c r="AP177" i="2"/>
  <c r="AP176" i="2"/>
  <c r="AP174" i="2"/>
  <c r="AP173" i="2"/>
  <c r="AP172" i="2"/>
  <c r="AP171" i="2"/>
  <c r="AP169" i="2"/>
  <c r="AP168" i="2"/>
  <c r="AP167" i="2"/>
  <c r="AP165" i="2"/>
  <c r="AP164" i="2"/>
  <c r="AP163" i="2"/>
  <c r="AP162" i="2"/>
  <c r="AP161" i="2"/>
  <c r="AP159" i="2"/>
  <c r="AP158" i="2"/>
  <c r="AP157" i="2"/>
  <c r="AP156" i="2"/>
  <c r="AP155" i="2"/>
  <c r="AP154" i="2"/>
  <c r="AP153" i="2"/>
  <c r="AP152" i="2"/>
  <c r="AP150" i="2"/>
  <c r="AP149" i="2"/>
  <c r="AP148" i="2"/>
  <c r="AP147" i="2"/>
  <c r="AP144" i="2"/>
  <c r="AP143" i="2"/>
  <c r="AP142" i="2"/>
  <c r="AP141" i="2"/>
  <c r="AP140" i="2"/>
  <c r="AP139" i="2"/>
  <c r="AP138" i="2"/>
  <c r="AP137" i="2"/>
  <c r="AP136" i="2"/>
  <c r="AP135" i="2"/>
  <c r="AP134" i="2"/>
  <c r="AP133" i="2"/>
  <c r="AP132" i="2"/>
  <c r="AP128" i="2"/>
  <c r="AP127" i="2"/>
  <c r="AP126" i="2"/>
  <c r="AP125" i="2"/>
  <c r="AP123" i="2"/>
  <c r="AP122" i="2"/>
  <c r="AP121" i="2"/>
  <c r="AP118" i="2"/>
  <c r="AP117" i="2"/>
  <c r="AP116" i="2"/>
  <c r="AP114" i="2"/>
  <c r="AP113" i="2"/>
  <c r="AP111" i="2"/>
  <c r="AP110" i="2"/>
  <c r="AP109" i="2"/>
  <c r="AP107" i="2"/>
  <c r="AP106" i="2"/>
  <c r="AP105" i="2"/>
  <c r="AP102" i="2"/>
  <c r="AP101" i="2"/>
  <c r="AP100" i="2"/>
  <c r="AP98" i="2"/>
  <c r="AP97" i="2"/>
  <c r="AP96" i="2"/>
  <c r="AP95" i="2"/>
  <c r="AP93" i="2"/>
  <c r="AP92" i="2"/>
  <c r="AP91" i="2"/>
  <c r="AP90" i="2"/>
  <c r="AP88" i="2"/>
  <c r="AP87" i="2"/>
  <c r="AP86" i="2"/>
  <c r="AP85" i="2"/>
  <c r="AP83" i="2"/>
  <c r="AP82" i="2"/>
  <c r="AP81" i="2"/>
  <c r="AP80" i="2"/>
  <c r="AP79" i="2"/>
  <c r="AP78" i="2"/>
  <c r="AP77" i="2"/>
  <c r="AP76" i="2"/>
  <c r="AP75" i="2"/>
  <c r="AP74" i="2"/>
  <c r="AP73" i="2"/>
  <c r="AP72" i="2"/>
  <c r="AP71" i="2"/>
  <c r="AP70" i="2"/>
  <c r="AP69" i="2"/>
  <c r="AP68" i="2"/>
  <c r="AP66" i="2"/>
  <c r="AP65" i="2"/>
  <c r="AP64" i="2"/>
  <c r="AP63" i="2"/>
  <c r="AP61" i="2"/>
  <c r="AP60" i="2"/>
  <c r="AP59" i="2"/>
  <c r="AP58" i="2"/>
  <c r="AP57" i="2"/>
  <c r="AP55" i="2"/>
  <c r="AP54" i="2"/>
  <c r="AP53" i="2"/>
  <c r="AP52" i="2"/>
  <c r="AP51" i="2"/>
  <c r="AP50" i="2"/>
  <c r="AP47" i="2"/>
  <c r="AP46" i="2"/>
  <c r="AP45" i="2"/>
  <c r="AP43" i="2"/>
  <c r="AP42" i="2"/>
  <c r="AP41" i="2"/>
  <c r="AP40" i="2"/>
  <c r="AP38" i="2"/>
  <c r="AP37" i="2"/>
  <c r="AP36" i="2"/>
  <c r="AP35" i="2"/>
  <c r="AP34" i="2"/>
  <c r="AP32" i="2"/>
  <c r="AP31" i="2"/>
  <c r="AP30" i="2"/>
  <c r="AP29" i="2"/>
  <c r="AP28" i="2"/>
  <c r="AP26" i="2"/>
  <c r="AP25" i="2"/>
  <c r="AP24" i="2"/>
  <c r="AP22" i="2"/>
  <c r="AP21" i="2"/>
  <c r="AP20" i="2"/>
  <c r="AP18" i="2"/>
  <c r="AJ106" i="21"/>
  <c r="AI106" i="21"/>
  <c r="AH106" i="21"/>
  <c r="AG106" i="21"/>
  <c r="AF106" i="21"/>
  <c r="AE106" i="21"/>
  <c r="AD106" i="21"/>
  <c r="AC106" i="21"/>
  <c r="AB106" i="21"/>
  <c r="AA106" i="21"/>
  <c r="Z106" i="21"/>
  <c r="Y106" i="21"/>
  <c r="X106" i="21"/>
  <c r="W106" i="21"/>
  <c r="V106" i="21"/>
  <c r="U106" i="21"/>
  <c r="T106" i="21"/>
  <c r="S106" i="21"/>
  <c r="R106" i="21"/>
  <c r="Q106" i="21"/>
  <c r="P106" i="21"/>
  <c r="O106" i="21"/>
  <c r="N106" i="21"/>
  <c r="M106" i="21"/>
  <c r="I145" i="2"/>
  <c r="AL99" i="21"/>
  <c r="R131" i="2"/>
  <c r="S131" i="2"/>
  <c r="T131" i="2"/>
  <c r="U131" i="2"/>
  <c r="V131" i="2"/>
  <c r="W131" i="2"/>
  <c r="X131" i="2"/>
  <c r="Y131" i="2"/>
  <c r="Z131" i="2"/>
  <c r="AA131" i="2"/>
  <c r="AB131" i="2"/>
  <c r="AC131" i="2"/>
  <c r="AD131" i="2"/>
  <c r="AE131" i="2"/>
  <c r="AF131" i="2"/>
  <c r="AG131" i="2"/>
  <c r="AH131" i="2"/>
  <c r="AI131" i="2"/>
  <c r="AJ131" i="2"/>
  <c r="AK131" i="2"/>
  <c r="AL131" i="2"/>
  <c r="AM131" i="2"/>
  <c r="AN131" i="2"/>
  <c r="Q131" i="2"/>
  <c r="I187" i="2"/>
  <c r="E34" i="6"/>
  <c r="AP131" i="2" l="1"/>
  <c r="M57" i="21" l="1"/>
  <c r="Y154" i="21"/>
  <c r="AK154" i="21" s="1"/>
  <c r="AL155" i="21"/>
  <c r="I57" i="21"/>
  <c r="V174" i="21"/>
  <c r="X174" i="21"/>
  <c r="R174" i="21"/>
  <c r="T174" i="21"/>
  <c r="M153" i="21"/>
  <c r="AK159" i="21"/>
  <c r="AK158" i="21"/>
  <c r="AA174" i="21"/>
  <c r="AC174" i="21"/>
  <c r="Z174" i="21"/>
  <c r="AH174" i="21"/>
  <c r="AI174" i="21"/>
  <c r="AL173" i="21"/>
  <c r="AK173" i="21"/>
  <c r="AL172" i="21"/>
  <c r="AK172" i="21"/>
  <c r="AL171" i="21"/>
  <c r="AK171" i="21"/>
  <c r="AL170" i="21"/>
  <c r="AK170" i="21"/>
  <c r="AL169" i="21"/>
  <c r="AK169" i="21"/>
  <c r="AL168" i="21"/>
  <c r="AK168" i="21"/>
  <c r="AL167" i="21"/>
  <c r="AK167" i="21"/>
  <c r="AL166" i="21"/>
  <c r="AK166" i="21"/>
  <c r="AL165" i="21"/>
  <c r="AK165" i="21"/>
  <c r="AL164" i="21"/>
  <c r="AK164" i="21"/>
  <c r="AL163" i="21"/>
  <c r="AK163" i="21"/>
  <c r="AL162" i="21"/>
  <c r="AK162" i="21"/>
  <c r="AL161" i="21"/>
  <c r="AK161" i="21"/>
  <c r="AL160" i="21"/>
  <c r="AK160" i="21"/>
  <c r="AL159" i="21"/>
  <c r="AL158" i="21"/>
  <c r="AL157" i="21"/>
  <c r="AK157" i="21"/>
  <c r="AL156" i="21"/>
  <c r="AK156" i="21"/>
  <c r="AL152" i="21"/>
  <c r="AK152" i="21"/>
  <c r="AL151" i="21"/>
  <c r="AK151" i="21"/>
  <c r="AL147" i="21"/>
  <c r="AK147" i="21"/>
  <c r="AL146" i="21"/>
  <c r="AK146" i="21"/>
  <c r="AL145" i="21"/>
  <c r="AK145" i="21"/>
  <c r="AL144" i="21"/>
  <c r="AK144" i="21"/>
  <c r="AL143" i="21"/>
  <c r="AK143" i="21"/>
  <c r="AL142" i="21"/>
  <c r="AK142" i="21"/>
  <c r="AL141" i="21"/>
  <c r="AK141" i="21"/>
  <c r="AL140" i="21"/>
  <c r="AK140" i="21"/>
  <c r="AL139" i="21"/>
  <c r="AK139" i="21"/>
  <c r="AL138" i="21"/>
  <c r="AK138" i="21"/>
  <c r="AL137" i="21"/>
  <c r="AK137" i="21"/>
  <c r="AL136" i="21"/>
  <c r="AK136" i="21"/>
  <c r="AL135" i="21"/>
  <c r="AK135" i="21"/>
  <c r="AL131" i="21"/>
  <c r="AK131" i="21"/>
  <c r="AL130" i="21"/>
  <c r="AK130" i="21"/>
  <c r="AL129" i="21"/>
  <c r="AK129" i="21"/>
  <c r="AL128" i="21"/>
  <c r="AK128" i="21"/>
  <c r="AL127" i="21"/>
  <c r="AK127" i="21"/>
  <c r="AL126" i="21"/>
  <c r="AK126" i="21"/>
  <c r="AL125" i="21"/>
  <c r="AK125" i="21"/>
  <c r="AL124" i="21"/>
  <c r="AK124" i="21"/>
  <c r="AL123" i="21"/>
  <c r="AK123" i="21"/>
  <c r="AL119" i="21"/>
  <c r="AK119" i="21"/>
  <c r="AL115" i="21"/>
  <c r="AK115" i="21"/>
  <c r="AL114" i="21"/>
  <c r="AK114" i="21"/>
  <c r="AL113" i="21"/>
  <c r="AK113" i="21"/>
  <c r="AL112" i="21"/>
  <c r="AK112" i="21"/>
  <c r="AL111" i="21"/>
  <c r="AK111" i="21"/>
  <c r="AL110" i="21"/>
  <c r="AK110" i="21"/>
  <c r="AL109" i="21"/>
  <c r="AK109" i="21"/>
  <c r="AL105" i="21"/>
  <c r="AK105" i="21"/>
  <c r="AL104" i="21"/>
  <c r="AK104" i="21"/>
  <c r="AL103" i="21"/>
  <c r="AK103" i="21"/>
  <c r="AL102" i="21"/>
  <c r="AK102" i="21"/>
  <c r="AL101" i="21"/>
  <c r="AK101" i="21"/>
  <c r="AL100" i="21"/>
  <c r="AK100" i="21"/>
  <c r="AK99" i="21"/>
  <c r="AL98" i="21"/>
  <c r="AK98" i="21"/>
  <c r="AL97" i="21"/>
  <c r="AK97" i="21"/>
  <c r="AL96" i="21"/>
  <c r="AK96" i="21"/>
  <c r="AL95" i="21"/>
  <c r="AK95" i="21"/>
  <c r="AL94" i="21"/>
  <c r="AK94" i="21"/>
  <c r="AL93" i="21"/>
  <c r="AK93" i="21"/>
  <c r="AL92" i="21"/>
  <c r="AK92" i="21"/>
  <c r="AL91" i="21"/>
  <c r="AK91" i="21"/>
  <c r="AL90" i="21"/>
  <c r="AK90" i="21"/>
  <c r="AL89" i="21"/>
  <c r="AK89" i="21"/>
  <c r="AL88" i="21"/>
  <c r="AK88" i="21"/>
  <c r="AL87" i="21"/>
  <c r="AK87" i="21"/>
  <c r="AL86" i="21"/>
  <c r="AK86" i="21"/>
  <c r="AL82" i="21"/>
  <c r="AK82" i="21"/>
  <c r="AL81" i="21"/>
  <c r="AK81" i="21"/>
  <c r="AL80" i="21"/>
  <c r="AK80" i="21"/>
  <c r="AL79" i="21"/>
  <c r="AK79" i="21"/>
  <c r="AL78" i="21"/>
  <c r="AK78" i="21"/>
  <c r="AL77" i="21"/>
  <c r="AK77" i="21"/>
  <c r="AL76" i="21"/>
  <c r="AK76" i="21"/>
  <c r="AL75" i="21"/>
  <c r="AK75" i="21"/>
  <c r="AL74" i="21"/>
  <c r="AK74" i="21"/>
  <c r="AL73" i="21"/>
  <c r="AK73" i="21"/>
  <c r="AL72" i="21"/>
  <c r="AK72" i="21"/>
  <c r="AL68" i="21"/>
  <c r="AK68" i="21"/>
  <c r="AL67" i="21"/>
  <c r="AK67" i="21"/>
  <c r="AL66" i="21"/>
  <c r="AK66" i="21"/>
  <c r="AL65" i="21"/>
  <c r="AK65" i="21"/>
  <c r="AL64" i="21"/>
  <c r="AK64" i="21"/>
  <c r="AL63" i="21"/>
  <c r="AK63" i="21"/>
  <c r="AL62" i="21"/>
  <c r="AK62" i="21"/>
  <c r="AL61" i="21"/>
  <c r="AK61" i="21"/>
  <c r="AL60" i="21"/>
  <c r="AK60" i="21"/>
  <c r="AL59" i="21"/>
  <c r="AK59" i="21"/>
  <c r="AL58" i="21"/>
  <c r="AK58" i="21"/>
  <c r="AL56" i="21"/>
  <c r="AK56" i="21"/>
  <c r="AL55" i="21"/>
  <c r="AK55" i="21"/>
  <c r="AL54" i="21"/>
  <c r="AK54" i="21"/>
  <c r="AL53" i="21"/>
  <c r="AK53" i="21"/>
  <c r="AL52" i="21"/>
  <c r="AK52" i="21"/>
  <c r="AL51" i="21"/>
  <c r="AK51" i="21"/>
  <c r="AL50" i="21"/>
  <c r="AK50" i="21"/>
  <c r="AL49" i="21"/>
  <c r="AK49" i="21"/>
  <c r="AL48" i="21"/>
  <c r="AK48" i="21"/>
  <c r="AL47" i="21"/>
  <c r="AK47" i="21"/>
  <c r="AL46" i="21"/>
  <c r="AK46" i="21"/>
  <c r="AL45" i="21"/>
  <c r="AK45" i="21"/>
  <c r="AL44" i="21"/>
  <c r="AK44" i="21"/>
  <c r="AL43" i="21"/>
  <c r="AK43" i="21"/>
  <c r="AL42" i="21"/>
  <c r="AK42" i="21"/>
  <c r="AL41" i="21"/>
  <c r="AK41" i="21"/>
  <c r="AL40" i="21"/>
  <c r="AK40" i="21"/>
  <c r="AL36" i="21"/>
  <c r="AK36" i="21"/>
  <c r="AK31" i="21"/>
  <c r="AL31" i="21"/>
  <c r="AK32" i="21"/>
  <c r="AL32" i="21"/>
  <c r="AL30" i="21"/>
  <c r="AK30" i="21"/>
  <c r="AL26" i="21"/>
  <c r="AK26" i="21"/>
  <c r="AL25" i="21"/>
  <c r="AK25" i="21"/>
  <c r="AL24" i="21"/>
  <c r="AK24" i="21"/>
  <c r="AL20" i="21"/>
  <c r="AK20" i="21"/>
  <c r="AL19" i="21"/>
  <c r="AK19" i="21"/>
  <c r="AK15" i="21"/>
  <c r="AL15" i="21"/>
  <c r="AJ120" i="21"/>
  <c r="AI120" i="21"/>
  <c r="AH120" i="21"/>
  <c r="AG120" i="21"/>
  <c r="AF120" i="21"/>
  <c r="AE120" i="21"/>
  <c r="AD120" i="21"/>
  <c r="AC120" i="21"/>
  <c r="AB120" i="21"/>
  <c r="AA120" i="21"/>
  <c r="Z120" i="21"/>
  <c r="Y120" i="21"/>
  <c r="X120" i="21"/>
  <c r="W120" i="21"/>
  <c r="V120" i="21"/>
  <c r="U120" i="21"/>
  <c r="T120" i="21"/>
  <c r="S120" i="21"/>
  <c r="R120" i="21"/>
  <c r="Q120" i="21"/>
  <c r="P120" i="21"/>
  <c r="O120" i="21"/>
  <c r="N120" i="21"/>
  <c r="M120" i="21"/>
  <c r="I182" i="2"/>
  <c r="I181" i="2" s="1"/>
  <c r="R19" i="2"/>
  <c r="S19" i="2"/>
  <c r="T19" i="2"/>
  <c r="U19" i="2"/>
  <c r="V19" i="2"/>
  <c r="W19" i="2"/>
  <c r="X19" i="2"/>
  <c r="Y19" i="2"/>
  <c r="Z19" i="2"/>
  <c r="AA19" i="2"/>
  <c r="AB19" i="2"/>
  <c r="AC19" i="2"/>
  <c r="AD19" i="2"/>
  <c r="AE19" i="2"/>
  <c r="AF19" i="2"/>
  <c r="AG19" i="2"/>
  <c r="AH19" i="2"/>
  <c r="AI19" i="2"/>
  <c r="AJ19" i="2"/>
  <c r="AK19" i="2"/>
  <c r="AL19" i="2"/>
  <c r="AM19" i="2"/>
  <c r="AN19" i="2"/>
  <c r="Q19" i="2"/>
  <c r="I22" i="2"/>
  <c r="I19" i="2" s="1"/>
  <c r="J148" i="21"/>
  <c r="AI183" i="25"/>
  <c r="AJ174" i="21"/>
  <c r="AG174" i="21"/>
  <c r="AF174" i="21"/>
  <c r="AE174" i="21"/>
  <c r="AD174" i="21"/>
  <c r="AB174" i="21"/>
  <c r="Y174" i="21"/>
  <c r="Q174" i="21"/>
  <c r="P174" i="21"/>
  <c r="O174" i="21"/>
  <c r="N174" i="21"/>
  <c r="M174" i="21"/>
  <c r="AJ148" i="21"/>
  <c r="AI148" i="21"/>
  <c r="AH148" i="21"/>
  <c r="AG148" i="21"/>
  <c r="AF148" i="21"/>
  <c r="AE148" i="21"/>
  <c r="AD148" i="21"/>
  <c r="AC148" i="21"/>
  <c r="AB148" i="21"/>
  <c r="AA148" i="21"/>
  <c r="Z148" i="21"/>
  <c r="Y148" i="21"/>
  <c r="X148" i="21"/>
  <c r="W148" i="21"/>
  <c r="V148" i="21"/>
  <c r="U148" i="21"/>
  <c r="T148" i="21"/>
  <c r="S148" i="21"/>
  <c r="R148" i="21"/>
  <c r="Q148" i="21"/>
  <c r="P148" i="21"/>
  <c r="O148" i="21"/>
  <c r="N148" i="21"/>
  <c r="M148" i="21"/>
  <c r="AJ132" i="21"/>
  <c r="AI132" i="21"/>
  <c r="AH132" i="21"/>
  <c r="AG132" i="21"/>
  <c r="AF132" i="21"/>
  <c r="AE132" i="21"/>
  <c r="AD132" i="21"/>
  <c r="AC132" i="21"/>
  <c r="AB132" i="21"/>
  <c r="AA132" i="21"/>
  <c r="Z132" i="21"/>
  <c r="Y132" i="21"/>
  <c r="X132" i="21"/>
  <c r="W132" i="21"/>
  <c r="V132" i="21"/>
  <c r="U132" i="21"/>
  <c r="T132" i="21"/>
  <c r="S132" i="21"/>
  <c r="R132" i="21"/>
  <c r="Q132" i="21"/>
  <c r="P132" i="21"/>
  <c r="O132" i="21"/>
  <c r="N132" i="21"/>
  <c r="M132" i="21"/>
  <c r="AJ116" i="21"/>
  <c r="AI116" i="21"/>
  <c r="AH116" i="21"/>
  <c r="AG116" i="21"/>
  <c r="AF116" i="21"/>
  <c r="AE116" i="21"/>
  <c r="AD116" i="21"/>
  <c r="AC116" i="21"/>
  <c r="AB116" i="21"/>
  <c r="AA116" i="21"/>
  <c r="Z116" i="21"/>
  <c r="Y116" i="21"/>
  <c r="X116" i="21"/>
  <c r="W116" i="21"/>
  <c r="V116" i="21"/>
  <c r="U116" i="21"/>
  <c r="T116" i="21"/>
  <c r="S116" i="21"/>
  <c r="R116" i="21"/>
  <c r="Q116" i="21"/>
  <c r="P116" i="21"/>
  <c r="O116" i="21"/>
  <c r="N116" i="21"/>
  <c r="M116" i="21"/>
  <c r="AJ83" i="21"/>
  <c r="AI83" i="21"/>
  <c r="AH83" i="21"/>
  <c r="AG83" i="21"/>
  <c r="AF83" i="21"/>
  <c r="AE83" i="21"/>
  <c r="AD83" i="21"/>
  <c r="AC83" i="21"/>
  <c r="AB83" i="21"/>
  <c r="AA83" i="21"/>
  <c r="Z83" i="21"/>
  <c r="Y83" i="21"/>
  <c r="X83" i="21"/>
  <c r="W83" i="21"/>
  <c r="V83" i="21"/>
  <c r="U83" i="21"/>
  <c r="T83" i="21"/>
  <c r="S83" i="21"/>
  <c r="R83" i="21"/>
  <c r="Q83" i="21"/>
  <c r="P83" i="21"/>
  <c r="O83" i="21"/>
  <c r="N83" i="21"/>
  <c r="M83" i="21"/>
  <c r="P69" i="21"/>
  <c r="O69" i="21"/>
  <c r="N69" i="21"/>
  <c r="AJ37" i="21"/>
  <c r="AI37" i="21"/>
  <c r="AH37" i="21"/>
  <c r="AG37" i="21"/>
  <c r="AF37" i="21"/>
  <c r="AE37" i="21"/>
  <c r="AD37" i="21"/>
  <c r="AC37" i="21"/>
  <c r="AB37" i="21"/>
  <c r="AA37" i="21"/>
  <c r="Z37" i="21"/>
  <c r="Y37" i="21"/>
  <c r="X37" i="21"/>
  <c r="W37" i="21"/>
  <c r="V37" i="21"/>
  <c r="U37" i="21"/>
  <c r="T37" i="21"/>
  <c r="S37" i="21"/>
  <c r="R37" i="21"/>
  <c r="Q37" i="21"/>
  <c r="P37" i="21"/>
  <c r="O37" i="21"/>
  <c r="N37" i="21"/>
  <c r="M37" i="21"/>
  <c r="AJ33" i="21"/>
  <c r="AI33" i="21"/>
  <c r="AH33" i="21"/>
  <c r="AG33" i="21"/>
  <c r="AF33" i="21"/>
  <c r="AE33" i="21"/>
  <c r="AD33" i="21"/>
  <c r="AC33" i="21"/>
  <c r="AB33" i="21"/>
  <c r="AA33" i="21"/>
  <c r="Z33" i="21"/>
  <c r="Y33" i="21"/>
  <c r="X33" i="21"/>
  <c r="W33" i="21"/>
  <c r="V33" i="21"/>
  <c r="U33" i="21"/>
  <c r="T33" i="21"/>
  <c r="S33" i="21"/>
  <c r="R33" i="21"/>
  <c r="Q33" i="21"/>
  <c r="P33" i="21"/>
  <c r="O33" i="21"/>
  <c r="N33" i="21"/>
  <c r="M33" i="21"/>
  <c r="AJ27" i="21"/>
  <c r="AI27" i="21"/>
  <c r="AH27" i="21"/>
  <c r="AG27" i="21"/>
  <c r="AF27" i="21"/>
  <c r="AE27" i="21"/>
  <c r="AD27" i="21"/>
  <c r="AC27" i="21"/>
  <c r="AB27" i="21"/>
  <c r="AA27" i="21"/>
  <c r="Z27" i="21"/>
  <c r="Y27" i="21"/>
  <c r="X27" i="21"/>
  <c r="W27" i="21"/>
  <c r="V27" i="21"/>
  <c r="U27" i="21"/>
  <c r="T27" i="21"/>
  <c r="S27" i="21"/>
  <c r="R27" i="21"/>
  <c r="Q27" i="21"/>
  <c r="P27" i="21"/>
  <c r="O27" i="21"/>
  <c r="N27" i="21"/>
  <c r="M27" i="21"/>
  <c r="AJ21" i="21"/>
  <c r="AI21" i="21"/>
  <c r="AH21" i="21"/>
  <c r="AG21" i="21"/>
  <c r="AF21" i="21"/>
  <c r="AE21" i="21"/>
  <c r="AD21" i="21"/>
  <c r="AC21" i="21"/>
  <c r="AB21" i="21"/>
  <c r="AA21" i="21"/>
  <c r="Z21" i="21"/>
  <c r="Y21" i="21"/>
  <c r="X21" i="21"/>
  <c r="W21" i="21"/>
  <c r="V21" i="21"/>
  <c r="U21" i="21"/>
  <c r="T21" i="21"/>
  <c r="S21" i="21"/>
  <c r="R21" i="21"/>
  <c r="Q21" i="21"/>
  <c r="P21" i="21"/>
  <c r="O21" i="21"/>
  <c r="N21" i="21"/>
  <c r="M21" i="21"/>
  <c r="AJ16" i="21"/>
  <c r="AI16" i="21"/>
  <c r="AH16" i="21"/>
  <c r="AG16" i="21"/>
  <c r="AF16" i="21"/>
  <c r="AE16" i="21"/>
  <c r="AD16" i="21"/>
  <c r="AC16" i="21"/>
  <c r="AB16" i="21"/>
  <c r="AA16" i="21"/>
  <c r="Z16" i="21"/>
  <c r="Y16" i="21"/>
  <c r="X16" i="21"/>
  <c r="W16" i="21"/>
  <c r="V16" i="21"/>
  <c r="U16" i="21"/>
  <c r="T16" i="21"/>
  <c r="S16" i="21"/>
  <c r="R16" i="21"/>
  <c r="Q16" i="21"/>
  <c r="P16" i="21"/>
  <c r="O16" i="21"/>
  <c r="N16" i="21"/>
  <c r="M16" i="21"/>
  <c r="AJ112" i="25"/>
  <c r="S72" i="25"/>
  <c r="AJ37" i="25"/>
  <c r="AI37" i="25"/>
  <c r="AJ199" i="25"/>
  <c r="AJ198" i="25"/>
  <c r="AJ197" i="25"/>
  <c r="AJ196" i="25"/>
  <c r="AJ195" i="25"/>
  <c r="AJ194" i="25"/>
  <c r="AJ193" i="25"/>
  <c r="AJ192" i="25"/>
  <c r="AJ191" i="25"/>
  <c r="AJ190" i="25"/>
  <c r="AJ189" i="25"/>
  <c r="AJ188" i="25"/>
  <c r="AJ187" i="25"/>
  <c r="AJ186" i="25"/>
  <c r="AJ185" i="25"/>
  <c r="AJ184" i="25"/>
  <c r="AJ183" i="25"/>
  <c r="AJ182" i="25"/>
  <c r="AJ181" i="25"/>
  <c r="AJ180" i="25"/>
  <c r="AJ179" i="25"/>
  <c r="AJ178" i="25"/>
  <c r="AJ177" i="25"/>
  <c r="AJ171" i="25"/>
  <c r="AJ170" i="25"/>
  <c r="AJ169" i="25"/>
  <c r="AJ168" i="25"/>
  <c r="AJ167" i="25"/>
  <c r="AJ166" i="25"/>
  <c r="AJ165" i="25"/>
  <c r="AJ164" i="25"/>
  <c r="AJ163" i="25"/>
  <c r="AJ162" i="25"/>
  <c r="AJ161" i="25"/>
  <c r="AJ160" i="25"/>
  <c r="AJ159" i="25"/>
  <c r="AJ153" i="25"/>
  <c r="AJ152" i="25"/>
  <c r="AJ151" i="25"/>
  <c r="AJ150" i="25"/>
  <c r="AJ149" i="25"/>
  <c r="AJ148" i="25"/>
  <c r="AJ147" i="25"/>
  <c r="AJ146" i="25"/>
  <c r="AJ145" i="25"/>
  <c r="AJ139" i="25"/>
  <c r="AJ138" i="25"/>
  <c r="AJ137" i="25"/>
  <c r="AJ136" i="25"/>
  <c r="AJ135" i="25"/>
  <c r="AJ134" i="25"/>
  <c r="AJ133" i="25"/>
  <c r="AJ127" i="25"/>
  <c r="AJ126" i="25"/>
  <c r="AJ125" i="25"/>
  <c r="AJ124" i="25"/>
  <c r="AJ123" i="25"/>
  <c r="AJ122" i="25"/>
  <c r="AJ121" i="25"/>
  <c r="AJ120" i="25"/>
  <c r="AJ119" i="25"/>
  <c r="AJ118" i="25"/>
  <c r="AJ117" i="25"/>
  <c r="AJ116" i="25"/>
  <c r="AJ115" i="25"/>
  <c r="AJ114" i="25"/>
  <c r="AJ113" i="25"/>
  <c r="AJ111" i="25"/>
  <c r="AJ110" i="25"/>
  <c r="AJ109" i="25"/>
  <c r="AJ108" i="25"/>
  <c r="AJ66" i="25"/>
  <c r="AJ88" i="25"/>
  <c r="AJ87" i="25"/>
  <c r="AJ86" i="25"/>
  <c r="AJ85" i="25"/>
  <c r="AJ84" i="25"/>
  <c r="AJ83" i="25"/>
  <c r="AJ82" i="25"/>
  <c r="AJ81" i="25"/>
  <c r="AJ80" i="25"/>
  <c r="AJ79" i="25"/>
  <c r="AJ78" i="25"/>
  <c r="AJ65" i="25"/>
  <c r="AJ61" i="25"/>
  <c r="AJ60" i="25"/>
  <c r="AJ59" i="25"/>
  <c r="AJ58" i="25"/>
  <c r="AJ57" i="25"/>
  <c r="AJ56" i="25"/>
  <c r="AJ55" i="25"/>
  <c r="AJ54" i="25"/>
  <c r="AJ53" i="25"/>
  <c r="AJ52" i="25"/>
  <c r="AJ51" i="25"/>
  <c r="AJ50" i="25"/>
  <c r="AJ49" i="25"/>
  <c r="AJ48" i="25"/>
  <c r="AJ47" i="25"/>
  <c r="AJ46" i="25"/>
  <c r="AJ45" i="25"/>
  <c r="AJ44" i="25"/>
  <c r="AJ43" i="25"/>
  <c r="AJ31" i="25"/>
  <c r="AJ30" i="25"/>
  <c r="AJ29" i="25"/>
  <c r="AJ22" i="25"/>
  <c r="AJ21" i="25"/>
  <c r="AJ13" i="25"/>
  <c r="AJ12" i="25"/>
  <c r="AJ6" i="25"/>
  <c r="AI31" i="25"/>
  <c r="AI178" i="25"/>
  <c r="AI177" i="25"/>
  <c r="V200" i="25"/>
  <c r="U200" i="25"/>
  <c r="T200" i="25"/>
  <c r="S200" i="25"/>
  <c r="R200" i="25"/>
  <c r="Q200" i="25"/>
  <c r="P200" i="25"/>
  <c r="O200" i="25"/>
  <c r="N200" i="25"/>
  <c r="M200" i="25"/>
  <c r="L200" i="25"/>
  <c r="K200" i="25"/>
  <c r="V172" i="25"/>
  <c r="U172" i="25"/>
  <c r="T172" i="25"/>
  <c r="S172" i="25"/>
  <c r="R172" i="25"/>
  <c r="Q172" i="25"/>
  <c r="P172" i="25"/>
  <c r="O172" i="25"/>
  <c r="N172" i="25"/>
  <c r="M172" i="25"/>
  <c r="L172" i="25"/>
  <c r="K172" i="25"/>
  <c r="V154" i="25"/>
  <c r="U154" i="25"/>
  <c r="T154" i="25"/>
  <c r="S154" i="25"/>
  <c r="R154" i="25"/>
  <c r="Q154" i="25"/>
  <c r="P154" i="25"/>
  <c r="O154" i="25"/>
  <c r="N154" i="25"/>
  <c r="M154" i="25"/>
  <c r="L154" i="25"/>
  <c r="K154" i="25"/>
  <c r="V140" i="25"/>
  <c r="K140" i="25"/>
  <c r="U140" i="25"/>
  <c r="T140" i="25"/>
  <c r="S140" i="25"/>
  <c r="R140" i="25"/>
  <c r="Q140" i="25"/>
  <c r="P140" i="25"/>
  <c r="O140" i="25"/>
  <c r="N140" i="25"/>
  <c r="M140" i="25"/>
  <c r="L140" i="25"/>
  <c r="V128" i="25"/>
  <c r="U128" i="25"/>
  <c r="T128" i="25"/>
  <c r="S128" i="25"/>
  <c r="R128" i="25"/>
  <c r="Q128" i="25"/>
  <c r="P128" i="25"/>
  <c r="O128" i="25"/>
  <c r="N128" i="25"/>
  <c r="M128" i="25"/>
  <c r="L128" i="25"/>
  <c r="V89" i="25"/>
  <c r="U89" i="25"/>
  <c r="T89" i="25"/>
  <c r="S89" i="25"/>
  <c r="R89" i="25"/>
  <c r="Q89" i="25"/>
  <c r="P89" i="25"/>
  <c r="O89" i="25"/>
  <c r="N89" i="25"/>
  <c r="M89" i="25"/>
  <c r="L89" i="25"/>
  <c r="K89" i="25"/>
  <c r="T72" i="25"/>
  <c r="P72" i="25"/>
  <c r="O72" i="25"/>
  <c r="N72" i="25"/>
  <c r="M72" i="25"/>
  <c r="V32" i="25"/>
  <c r="K32" i="25"/>
  <c r="V38" i="25"/>
  <c r="U38" i="25"/>
  <c r="T38" i="25"/>
  <c r="S38" i="25"/>
  <c r="R38" i="25"/>
  <c r="Q38" i="25"/>
  <c r="P38" i="25"/>
  <c r="O38" i="25"/>
  <c r="N38" i="25"/>
  <c r="M38" i="25"/>
  <c r="L38" i="25"/>
  <c r="V14" i="25"/>
  <c r="U14" i="25"/>
  <c r="T14" i="25"/>
  <c r="S14" i="25"/>
  <c r="R14" i="25"/>
  <c r="Q14" i="25"/>
  <c r="P14" i="25"/>
  <c r="O14" i="25"/>
  <c r="N14" i="25"/>
  <c r="M14" i="25"/>
  <c r="L14" i="25"/>
  <c r="V7" i="25"/>
  <c r="U7" i="25"/>
  <c r="T7" i="25"/>
  <c r="S7" i="25"/>
  <c r="R7" i="25"/>
  <c r="Q7" i="25"/>
  <c r="P7" i="25"/>
  <c r="O7" i="25"/>
  <c r="N7" i="25"/>
  <c r="M7" i="25"/>
  <c r="L7" i="25"/>
  <c r="K38" i="25"/>
  <c r="K128" i="25"/>
  <c r="F140" i="25"/>
  <c r="F89" i="25"/>
  <c r="F154" i="25"/>
  <c r="F38" i="25"/>
  <c r="F32" i="25"/>
  <c r="F24" i="25"/>
  <c r="F14" i="25"/>
  <c r="F7" i="25"/>
  <c r="F172" i="25"/>
  <c r="AH200" i="25"/>
  <c r="AG200" i="25"/>
  <c r="AF200" i="25"/>
  <c r="AE200" i="25"/>
  <c r="AD200" i="25"/>
  <c r="AC200" i="25"/>
  <c r="AB200" i="25"/>
  <c r="AA200" i="25"/>
  <c r="Z200" i="25"/>
  <c r="Y200" i="25"/>
  <c r="X200" i="25"/>
  <c r="W200" i="25"/>
  <c r="AH172" i="25"/>
  <c r="AG172" i="25"/>
  <c r="AF172" i="25"/>
  <c r="AE172" i="25"/>
  <c r="AD172" i="25"/>
  <c r="AC172" i="25"/>
  <c r="AB172" i="25"/>
  <c r="AA172" i="25"/>
  <c r="Z172" i="25"/>
  <c r="Y172" i="25"/>
  <c r="X172" i="25"/>
  <c r="W172" i="25"/>
  <c r="AH154" i="25"/>
  <c r="AG154" i="25"/>
  <c r="AF154" i="25"/>
  <c r="AE154" i="25"/>
  <c r="AD154" i="25"/>
  <c r="AC154" i="25"/>
  <c r="AB154" i="25"/>
  <c r="AA154" i="25"/>
  <c r="Z154" i="25"/>
  <c r="Y154" i="25"/>
  <c r="X154" i="25"/>
  <c r="W154" i="25"/>
  <c r="AH140" i="25"/>
  <c r="AG140" i="25"/>
  <c r="AF140" i="25"/>
  <c r="AE140" i="25"/>
  <c r="AD140" i="25"/>
  <c r="AC140" i="25"/>
  <c r="AB140" i="25"/>
  <c r="AA140" i="25"/>
  <c r="Z140" i="25"/>
  <c r="Y140" i="25"/>
  <c r="X140" i="25"/>
  <c r="W140" i="25"/>
  <c r="AH128" i="25"/>
  <c r="AG128" i="25"/>
  <c r="AF128" i="25"/>
  <c r="AE128" i="25"/>
  <c r="AD128" i="25"/>
  <c r="AC128" i="25"/>
  <c r="AB128" i="25"/>
  <c r="AA128" i="25"/>
  <c r="Z128" i="25"/>
  <c r="Y128" i="25"/>
  <c r="X128" i="25"/>
  <c r="W128" i="25"/>
  <c r="AH89" i="25"/>
  <c r="AG89" i="25"/>
  <c r="AF89" i="25"/>
  <c r="AE89" i="25"/>
  <c r="AD89" i="25"/>
  <c r="AC89" i="25"/>
  <c r="AB89" i="25"/>
  <c r="AA89" i="25"/>
  <c r="Z89" i="25"/>
  <c r="Y89" i="25"/>
  <c r="X89" i="25"/>
  <c r="W89" i="25"/>
  <c r="AH38" i="25"/>
  <c r="AG38" i="25"/>
  <c r="AF38" i="25"/>
  <c r="AE38" i="25"/>
  <c r="AD38" i="25"/>
  <c r="AC38" i="25"/>
  <c r="AB38" i="25"/>
  <c r="AA38" i="25"/>
  <c r="Z38" i="25"/>
  <c r="Y38" i="25"/>
  <c r="X38" i="25"/>
  <c r="W38" i="25"/>
  <c r="AH32" i="25"/>
  <c r="AG32" i="25"/>
  <c r="AF32" i="25"/>
  <c r="AE32" i="25"/>
  <c r="AD32" i="25"/>
  <c r="AC32" i="25"/>
  <c r="AB32" i="25"/>
  <c r="AA32" i="25"/>
  <c r="Z32" i="25"/>
  <c r="Y32" i="25"/>
  <c r="X32" i="25"/>
  <c r="W32" i="25"/>
  <c r="AH24" i="25"/>
  <c r="AG24" i="25"/>
  <c r="AF24" i="25"/>
  <c r="AE24" i="25"/>
  <c r="AD24" i="25"/>
  <c r="AC24" i="25"/>
  <c r="AB24" i="25"/>
  <c r="AA24" i="25"/>
  <c r="Z24" i="25"/>
  <c r="Y24" i="25"/>
  <c r="X24" i="25"/>
  <c r="W24" i="25"/>
  <c r="AH14" i="25"/>
  <c r="AG14" i="25"/>
  <c r="AF14" i="25"/>
  <c r="AE14" i="25"/>
  <c r="AD14" i="25"/>
  <c r="AC14" i="25"/>
  <c r="AB14" i="25"/>
  <c r="AA14" i="25"/>
  <c r="Z14" i="25"/>
  <c r="Y14" i="25"/>
  <c r="X14" i="25"/>
  <c r="W14" i="25"/>
  <c r="AH7" i="25"/>
  <c r="AG7" i="25"/>
  <c r="AF7" i="25"/>
  <c r="AE7" i="25"/>
  <c r="AD7" i="25"/>
  <c r="AC7" i="25"/>
  <c r="AB7" i="25"/>
  <c r="AA7" i="25"/>
  <c r="Z7" i="25"/>
  <c r="Y7" i="25"/>
  <c r="X7" i="25"/>
  <c r="W7" i="25"/>
  <c r="U32" i="25"/>
  <c r="T32" i="25"/>
  <c r="S32" i="25"/>
  <c r="R32" i="25"/>
  <c r="Q32" i="25"/>
  <c r="P32" i="25"/>
  <c r="O32" i="25"/>
  <c r="N32" i="25"/>
  <c r="M32" i="25"/>
  <c r="L32" i="25"/>
  <c r="V24" i="25"/>
  <c r="U24" i="25"/>
  <c r="T24" i="25"/>
  <c r="S24" i="25"/>
  <c r="Q24" i="25"/>
  <c r="P24" i="25"/>
  <c r="N24" i="25"/>
  <c r="M24" i="25"/>
  <c r="K24" i="25"/>
  <c r="K14" i="25"/>
  <c r="K7" i="25"/>
  <c r="AO138" i="2"/>
  <c r="AO187" i="2"/>
  <c r="AJ63" i="25"/>
  <c r="AJ64" i="25"/>
  <c r="AJ67" i="25"/>
  <c r="AI65" i="25"/>
  <c r="AJ68" i="25"/>
  <c r="AJ69" i="25"/>
  <c r="AJ71" i="25"/>
  <c r="AJ70" i="25"/>
  <c r="AP19" i="2" l="1"/>
  <c r="M121" i="21"/>
  <c r="AK155" i="21"/>
  <c r="U69" i="21"/>
  <c r="Q69" i="21"/>
  <c r="T69" i="21"/>
  <c r="S69" i="21"/>
  <c r="U174" i="21"/>
  <c r="W174" i="21"/>
  <c r="AL154" i="21"/>
  <c r="S174" i="21"/>
  <c r="AK153" i="21"/>
  <c r="Y121" i="21"/>
  <c r="Y84" i="21"/>
  <c r="Y107" i="21"/>
  <c r="Y117" i="21"/>
  <c r="Y133" i="21"/>
  <c r="Y149" i="21"/>
  <c r="Y175" i="21"/>
  <c r="Y28" i="21"/>
  <c r="M17" i="21"/>
  <c r="M22" i="21"/>
  <c r="M28" i="21"/>
  <c r="M34" i="21"/>
  <c r="M38" i="21"/>
  <c r="M84" i="21"/>
  <c r="M107" i="21"/>
  <c r="M117" i="21"/>
  <c r="M133" i="21"/>
  <c r="Y22" i="21"/>
  <c r="Y34" i="21"/>
  <c r="Y38" i="21"/>
  <c r="M149" i="21"/>
  <c r="Y17" i="21"/>
  <c r="U72" i="25"/>
  <c r="R72" i="25"/>
  <c r="Q72" i="25"/>
  <c r="Y72" i="25"/>
  <c r="AD72" i="25"/>
  <c r="AE72" i="25"/>
  <c r="Z72" i="25"/>
  <c r="L72" i="25"/>
  <c r="K201" i="25"/>
  <c r="W8" i="25"/>
  <c r="K33" i="25"/>
  <c r="W25" i="25"/>
  <c r="K8" i="25"/>
  <c r="W201" i="25"/>
  <c r="K15" i="25"/>
  <c r="W15" i="25"/>
  <c r="W33" i="25"/>
  <c r="W39" i="25"/>
  <c r="K141" i="25"/>
  <c r="W129" i="25"/>
  <c r="K129" i="25"/>
  <c r="W90" i="25"/>
  <c r="W141" i="25"/>
  <c r="K39" i="25"/>
  <c r="K90" i="25"/>
  <c r="W155" i="25"/>
  <c r="K155" i="25"/>
  <c r="W173" i="25"/>
  <c r="K173" i="25"/>
  <c r="S176" i="21" l="1"/>
  <c r="M175" i="21"/>
  <c r="AL175" i="21" s="1"/>
  <c r="AK121" i="21"/>
  <c r="R69" i="21"/>
  <c r="P176" i="21" s="1"/>
  <c r="X69" i="21"/>
  <c r="Y69" i="21"/>
  <c r="W69" i="21"/>
  <c r="AL153" i="21"/>
  <c r="AL133" i="21"/>
  <c r="AL22" i="21"/>
  <c r="AL17" i="21"/>
  <c r="AL107" i="21"/>
  <c r="AL38" i="21"/>
  <c r="AL28" i="21"/>
  <c r="AL117" i="21"/>
  <c r="AL84" i="21"/>
  <c r="AL149" i="21"/>
  <c r="AK149" i="21"/>
  <c r="AL34" i="21"/>
  <c r="AL121" i="21"/>
  <c r="AJ173" i="25"/>
  <c r="AI173" i="25"/>
  <c r="AJ8" i="25"/>
  <c r="AI8" i="25"/>
  <c r="AJ155" i="25"/>
  <c r="AI155" i="25"/>
  <c r="AI33" i="25"/>
  <c r="AJ33" i="25"/>
  <c r="AJ201" i="25"/>
  <c r="AI39" i="25"/>
  <c r="AJ39" i="25"/>
  <c r="AI141" i="25"/>
  <c r="AJ141" i="25"/>
  <c r="AJ15" i="25"/>
  <c r="AI15" i="25"/>
  <c r="AJ129" i="25"/>
  <c r="V72" i="25"/>
  <c r="X72" i="25"/>
  <c r="W72" i="25"/>
  <c r="AI90" i="25"/>
  <c r="AJ90" i="25"/>
  <c r="AA69" i="21" l="1"/>
  <c r="AC69" i="21"/>
  <c r="AG69" i="21"/>
  <c r="AB69" i="21"/>
  <c r="V69" i="21"/>
  <c r="AG72" i="25"/>
  <c r="AB72" i="25"/>
  <c r="AA72" i="25"/>
  <c r="AF72" i="25"/>
  <c r="W202" i="25"/>
  <c r="AH72" i="25"/>
  <c r="AC72" i="25"/>
  <c r="AO22" i="2"/>
  <c r="AO50" i="2"/>
  <c r="AO69" i="2"/>
  <c r="AO70" i="2"/>
  <c r="AO71" i="2"/>
  <c r="AO72" i="2"/>
  <c r="AO73" i="2"/>
  <c r="AO74" i="2"/>
  <c r="AO75" i="2"/>
  <c r="AO76" i="2"/>
  <c r="AO77" i="2"/>
  <c r="AO78" i="2"/>
  <c r="AO79" i="2"/>
  <c r="AO80" i="2"/>
  <c r="AO81" i="2"/>
  <c r="AO82" i="2"/>
  <c r="AO83" i="2"/>
  <c r="AO98" i="2"/>
  <c r="AO105" i="2"/>
  <c r="AO139" i="2"/>
  <c r="S177" i="21" l="1"/>
  <c r="V176" i="21"/>
  <c r="AJ69" i="21"/>
  <c r="AF69" i="21"/>
  <c r="Z69" i="21"/>
  <c r="Y176" i="21" s="1"/>
  <c r="AI69" i="21"/>
  <c r="AE69" i="21"/>
  <c r="AE176" i="21" s="1"/>
  <c r="W73" i="25"/>
  <c r="R24" i="25"/>
  <c r="O24" i="25"/>
  <c r="AJ23" i="25"/>
  <c r="I114" i="2"/>
  <c r="AD146" i="2"/>
  <c r="AC151" i="2"/>
  <c r="AD151" i="2"/>
  <c r="AE151" i="2"/>
  <c r="AF151" i="2"/>
  <c r="AG151" i="2"/>
  <c r="AH151" i="2"/>
  <c r="I157" i="2"/>
  <c r="I156" i="2"/>
  <c r="I154" i="2"/>
  <c r="I153" i="2"/>
  <c r="I152" i="2"/>
  <c r="I184" i="2"/>
  <c r="I183" i="2"/>
  <c r="F22" i="2"/>
  <c r="J132" i="21"/>
  <c r="AI180" i="25"/>
  <c r="AI197" i="25"/>
  <c r="AI13" i="25"/>
  <c r="AI12" i="25"/>
  <c r="AI22" i="25"/>
  <c r="AI21" i="25"/>
  <c r="AI29" i="25"/>
  <c r="AI57" i="25"/>
  <c r="AI56" i="25"/>
  <c r="AI48" i="25"/>
  <c r="AI47" i="25"/>
  <c r="AI46" i="25"/>
  <c r="AI45" i="25"/>
  <c r="AI44" i="25"/>
  <c r="AI43" i="25"/>
  <c r="AI87" i="25"/>
  <c r="AI83" i="25"/>
  <c r="AI79" i="25"/>
  <c r="AI78" i="25"/>
  <c r="AI117" i="25"/>
  <c r="AI116" i="25"/>
  <c r="AI114" i="25"/>
  <c r="AI110" i="25"/>
  <c r="AI137" i="25"/>
  <c r="AI136" i="25"/>
  <c r="AI153" i="25"/>
  <c r="AI151" i="25"/>
  <c r="AI150" i="25"/>
  <c r="AI149" i="25"/>
  <c r="AI146" i="25"/>
  <c r="AI145" i="25"/>
  <c r="AI165" i="25"/>
  <c r="AI164" i="25"/>
  <c r="AI163" i="25"/>
  <c r="AI161" i="25"/>
  <c r="AI160" i="25"/>
  <c r="AI182" i="25"/>
  <c r="AI198" i="25"/>
  <c r="AI196" i="25"/>
  <c r="AI195" i="25"/>
  <c r="AI193" i="25"/>
  <c r="AI192" i="25"/>
  <c r="AI191" i="25"/>
  <c r="AI189" i="25"/>
  <c r="AI188" i="25"/>
  <c r="AI186" i="25"/>
  <c r="AI185" i="25"/>
  <c r="AI199" i="25"/>
  <c r="AI88" i="25"/>
  <c r="AI84" i="25"/>
  <c r="AI82" i="25"/>
  <c r="AI159" i="25"/>
  <c r="AI115" i="25"/>
  <c r="AI133" i="25"/>
  <c r="AI147" i="25"/>
  <c r="AI162" i="25"/>
  <c r="AD145" i="2" l="1"/>
  <c r="AK133" i="21"/>
  <c r="AD69" i="21"/>
  <c r="AH69" i="21"/>
  <c r="L24" i="25"/>
  <c r="AI23" i="25"/>
  <c r="AI86" i="25"/>
  <c r="AI134" i="25"/>
  <c r="AI139" i="25"/>
  <c r="AI118" i="25"/>
  <c r="AI85" i="25"/>
  <c r="AI112" i="25"/>
  <c r="AI108" i="25"/>
  <c r="AI113" i="25"/>
  <c r="AI80" i="25"/>
  <c r="AI135" i="25"/>
  <c r="AI148" i="25"/>
  <c r="AI30" i="25"/>
  <c r="AI181" i="25"/>
  <c r="AI81" i="25"/>
  <c r="AI138" i="25"/>
  <c r="AI111" i="25"/>
  <c r="AI109" i="25"/>
  <c r="AI6" i="25"/>
  <c r="J21" i="21"/>
  <c r="AK22" i="21" s="1"/>
  <c r="J27" i="21"/>
  <c r="AK28" i="21" s="1"/>
  <c r="J33" i="21"/>
  <c r="AK34" i="21" s="1"/>
  <c r="J37" i="21"/>
  <c r="AK38" i="21" s="1"/>
  <c r="J83" i="21"/>
  <c r="AK84" i="21" s="1"/>
  <c r="J106" i="21"/>
  <c r="AK107" i="21" s="1"/>
  <c r="J116" i="21"/>
  <c r="AK117" i="21" s="1"/>
  <c r="J174" i="21"/>
  <c r="AK175" i="21" s="1"/>
  <c r="J16" i="21"/>
  <c r="AK17" i="21" s="1"/>
  <c r="AI194" i="25"/>
  <c r="AI190" i="25"/>
  <c r="AI179" i="25"/>
  <c r="AI187" i="25"/>
  <c r="AI184" i="25"/>
  <c r="F60" i="25"/>
  <c r="Y177" i="21" l="1"/>
  <c r="AB176" i="21"/>
  <c r="AE177" i="21"/>
  <c r="AH176" i="21"/>
  <c r="Y70" i="21"/>
  <c r="Y178" i="21" s="1"/>
  <c r="J182" i="21" s="1"/>
  <c r="K182" i="21" s="1"/>
  <c r="K25" i="25"/>
  <c r="AI51" i="25"/>
  <c r="AI127" i="25"/>
  <c r="AI169" i="25"/>
  <c r="AI67" i="25"/>
  <c r="AI58" i="25"/>
  <c r="AI68" i="25"/>
  <c r="AI124" i="25"/>
  <c r="AI66" i="25"/>
  <c r="AI126" i="25"/>
  <c r="AI168" i="25"/>
  <c r="AI54" i="25"/>
  <c r="AI125" i="25"/>
  <c r="AI59" i="25"/>
  <c r="AI122" i="25"/>
  <c r="AI61" i="25"/>
  <c r="AI49" i="25"/>
  <c r="AI63" i="25"/>
  <c r="AI71" i="25"/>
  <c r="AI120" i="25"/>
  <c r="AI171" i="25"/>
  <c r="AI53" i="25"/>
  <c r="AI152" i="25"/>
  <c r="AI167" i="25"/>
  <c r="AI69" i="25"/>
  <c r="AI70" i="25"/>
  <c r="AI121" i="25"/>
  <c r="AI166" i="25"/>
  <c r="AI50" i="25"/>
  <c r="AI64" i="25"/>
  <c r="AI119" i="25"/>
  <c r="AI170" i="25"/>
  <c r="AJ25" i="25" l="1"/>
  <c r="AI25" i="25"/>
  <c r="AI60" i="25"/>
  <c r="H191" i="2" l="1"/>
  <c r="G191" i="2"/>
  <c r="E191" i="2"/>
  <c r="D191" i="2"/>
  <c r="P94" i="2"/>
  <c r="G197" i="27" l="1"/>
  <c r="G196" i="27"/>
  <c r="G195" i="27"/>
  <c r="G194" i="27"/>
  <c r="G193" i="27"/>
  <c r="G192" i="27"/>
  <c r="G191" i="27"/>
  <c r="G190" i="27"/>
  <c r="G189" i="27"/>
  <c r="G187" i="27"/>
  <c r="G186" i="27"/>
  <c r="I130" i="27"/>
  <c r="F130" i="27"/>
  <c r="E130" i="27"/>
  <c r="Q189" i="27"/>
  <c r="P189" i="27"/>
  <c r="O189" i="27"/>
  <c r="N189" i="27"/>
  <c r="M189" i="27"/>
  <c r="L189" i="27"/>
  <c r="F200" i="25" l="1"/>
  <c r="AI201" i="25" s="1"/>
  <c r="F123" i="25"/>
  <c r="F128" i="25" s="1"/>
  <c r="AI129" i="25" s="1"/>
  <c r="F62" i="25"/>
  <c r="F52" i="25"/>
  <c r="F72" i="25" s="1"/>
  <c r="N208" i="4"/>
  <c r="N197" i="4"/>
  <c r="P208" i="4"/>
  <c r="R208" i="4" s="1"/>
  <c r="Q186" i="2"/>
  <c r="R186" i="2"/>
  <c r="S186" i="2"/>
  <c r="T186" i="2"/>
  <c r="U186" i="2"/>
  <c r="V186" i="2"/>
  <c r="W186" i="2"/>
  <c r="X186" i="2"/>
  <c r="Y186" i="2"/>
  <c r="Z186" i="2"/>
  <c r="AA186" i="2"/>
  <c r="AB186" i="2"/>
  <c r="AC186" i="2"/>
  <c r="AD186" i="2"/>
  <c r="AE186" i="2"/>
  <c r="AF186" i="2"/>
  <c r="AG186" i="2"/>
  <c r="AH186" i="2"/>
  <c r="AI186" i="2"/>
  <c r="AJ186" i="2"/>
  <c r="AK186" i="2"/>
  <c r="AL186" i="2"/>
  <c r="AN186" i="2"/>
  <c r="AM186" i="2"/>
  <c r="P195" i="2"/>
  <c r="O195" i="2"/>
  <c r="M195" i="2"/>
  <c r="L195" i="2"/>
  <c r="J195" i="2"/>
  <c r="F195" i="2"/>
  <c r="AP186" i="2" l="1"/>
  <c r="AO195" i="2"/>
  <c r="K72" i="25"/>
  <c r="K73" i="25" s="1"/>
  <c r="AJ62" i="25"/>
  <c r="F203" i="25"/>
  <c r="I186" i="2"/>
  <c r="K19" i="2"/>
  <c r="L19" i="2"/>
  <c r="M19" i="2"/>
  <c r="N19" i="2"/>
  <c r="O19" i="2"/>
  <c r="K23" i="2"/>
  <c r="K27" i="2"/>
  <c r="K33" i="2"/>
  <c r="K39" i="2"/>
  <c r="K44" i="2"/>
  <c r="L46" i="2"/>
  <c r="M46" i="2"/>
  <c r="N46" i="2"/>
  <c r="O46" i="2"/>
  <c r="K46"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K67" i="2"/>
  <c r="I27" i="2"/>
  <c r="I37" i="21"/>
  <c r="Q180" i="2"/>
  <c r="I174" i="21"/>
  <c r="AP67" i="2" l="1"/>
  <c r="AI73" i="25"/>
  <c r="AJ73" i="25"/>
  <c r="K202" i="25"/>
  <c r="AI123" i="25"/>
  <c r="AI62" i="25"/>
  <c r="AI55" i="25"/>
  <c r="AI52" i="25"/>
  <c r="J107" i="2"/>
  <c r="AO107" i="2" s="1"/>
  <c r="V203" i="25" l="1"/>
  <c r="I33" i="21"/>
  <c r="H171" i="8"/>
  <c r="H70" i="8"/>
  <c r="I120" i="2"/>
  <c r="J120" i="2" s="1"/>
  <c r="R146" i="2"/>
  <c r="S146" i="2"/>
  <c r="T146" i="2"/>
  <c r="T145" i="2" s="1"/>
  <c r="U146" i="2"/>
  <c r="V146" i="2"/>
  <c r="W146" i="2"/>
  <c r="X146" i="2"/>
  <c r="Y146" i="2"/>
  <c r="Z146" i="2"/>
  <c r="AA146" i="2"/>
  <c r="AB146" i="2"/>
  <c r="AC146" i="2"/>
  <c r="AC145" i="2" s="1"/>
  <c r="AE146" i="2"/>
  <c r="AE145" i="2" s="1"/>
  <c r="AF146" i="2"/>
  <c r="AF145" i="2" s="1"/>
  <c r="AG146" i="2"/>
  <c r="AG145" i="2" s="1"/>
  <c r="AH146" i="2"/>
  <c r="AH145" i="2" s="1"/>
  <c r="AI146" i="2"/>
  <c r="AI145" i="2" s="1"/>
  <c r="AJ146" i="2"/>
  <c r="AJ145" i="2" s="1"/>
  <c r="AK146" i="2"/>
  <c r="AK145" i="2" s="1"/>
  <c r="AL146" i="2"/>
  <c r="AM146" i="2"/>
  <c r="AN146" i="2"/>
  <c r="L146" i="2"/>
  <c r="M146" i="2"/>
  <c r="N146" i="2"/>
  <c r="O146" i="2"/>
  <c r="P146" i="2"/>
  <c r="K146" i="2"/>
  <c r="Q146" i="2"/>
  <c r="J153" i="2"/>
  <c r="AO153" i="2" s="1"/>
  <c r="J154" i="2"/>
  <c r="AO154" i="2" s="1"/>
  <c r="J155" i="2"/>
  <c r="AO155" i="2" s="1"/>
  <c r="J156" i="2"/>
  <c r="AO156" i="2" s="1"/>
  <c r="J157" i="2"/>
  <c r="AO157" i="2" s="1"/>
  <c r="J158" i="2"/>
  <c r="AO158" i="2" s="1"/>
  <c r="J159" i="2"/>
  <c r="AO159" i="2" s="1"/>
  <c r="J152" i="2"/>
  <c r="AO152" i="2" s="1"/>
  <c r="I151" i="2"/>
  <c r="J151" i="2" s="1"/>
  <c r="I146" i="2"/>
  <c r="S151" i="2"/>
  <c r="T151" i="2"/>
  <c r="AN151" i="2"/>
  <c r="AN145" i="2" s="1"/>
  <c r="AM151" i="2"/>
  <c r="AM145" i="2" s="1"/>
  <c r="AL151" i="2"/>
  <c r="AK151" i="2"/>
  <c r="AJ151" i="2"/>
  <c r="AI151" i="2"/>
  <c r="K151" i="2"/>
  <c r="I116" i="21"/>
  <c r="S145" i="2" l="1"/>
  <c r="AP146" i="2"/>
  <c r="AL145" i="2"/>
  <c r="J145" i="2"/>
  <c r="L151" i="2"/>
  <c r="F17" i="2" l="1"/>
  <c r="I94" i="2"/>
  <c r="J97" i="2"/>
  <c r="AO97" i="2" s="1"/>
  <c r="J96" i="2"/>
  <c r="AO96" i="2" s="1"/>
  <c r="I46" i="2"/>
  <c r="H48" i="2"/>
  <c r="J27" i="2"/>
  <c r="J19" i="2"/>
  <c r="I3" i="8"/>
  <c r="I23" i="8"/>
  <c r="I25" i="8"/>
  <c r="I59" i="8"/>
  <c r="I77" i="8"/>
  <c r="I111" i="8"/>
  <c r="I124" i="8"/>
  <c r="I165" i="8"/>
  <c r="I177" i="8"/>
  <c r="I186" i="8"/>
  <c r="I83" i="21"/>
  <c r="I27" i="21"/>
  <c r="I21" i="21"/>
  <c r="I16" i="21"/>
  <c r="I148" i="21"/>
  <c r="I132" i="21"/>
  <c r="Q59" i="4"/>
  <c r="L78" i="4" l="1"/>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9" i="4"/>
  <c r="L210" i="4"/>
  <c r="L211" i="4"/>
  <c r="L212" i="4"/>
  <c r="L213" i="4"/>
  <c r="L214" i="4"/>
  <c r="L215" i="4"/>
  <c r="L77" i="4"/>
  <c r="L76" i="4"/>
  <c r="L72" i="4"/>
  <c r="L73" i="4"/>
  <c r="L74" i="4"/>
  <c r="L75" i="4"/>
  <c r="L71" i="4"/>
  <c r="I101" i="21"/>
  <c r="I100" i="21"/>
  <c r="I103" i="21"/>
  <c r="E131" i="2"/>
  <c r="D131" i="2"/>
  <c r="I59" i="21"/>
  <c r="I52" i="21"/>
  <c r="I49" i="21"/>
  <c r="I45" i="21"/>
  <c r="E23" i="2"/>
  <c r="D23" i="2"/>
  <c r="I69" i="21" l="1"/>
  <c r="I106" i="21"/>
  <c r="D151" i="2"/>
  <c r="E146" i="2"/>
  <c r="D146" i="2"/>
  <c r="F155" i="2"/>
  <c r="J184" i="2"/>
  <c r="AO184" i="2" s="1"/>
  <c r="J183" i="2"/>
  <c r="AO183" i="2" s="1"/>
  <c r="I131" i="2"/>
  <c r="I104" i="2"/>
  <c r="H4" i="8"/>
  <c r="H23" i="8"/>
  <c r="H24" i="8"/>
  <c r="H25" i="8"/>
  <c r="H26" i="8"/>
  <c r="H27" i="8"/>
  <c r="H59" i="8"/>
  <c r="H60" i="8"/>
  <c r="H61"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65" i="8"/>
  <c r="H166" i="8"/>
  <c r="H167" i="8"/>
  <c r="H168" i="8"/>
  <c r="H169" i="8"/>
  <c r="H170" i="8"/>
  <c r="H177" i="8"/>
  <c r="H178" i="8"/>
  <c r="H179" i="8"/>
  <c r="H180" i="8"/>
  <c r="H181" i="8"/>
  <c r="H182" i="8"/>
  <c r="H183" i="8"/>
  <c r="H184" i="8"/>
  <c r="H185" i="8"/>
  <c r="H186" i="8"/>
  <c r="H187" i="8"/>
  <c r="H188" i="8"/>
  <c r="H189" i="8"/>
  <c r="H190" i="8"/>
  <c r="H191" i="8"/>
  <c r="H192" i="8"/>
  <c r="H193" i="8"/>
  <c r="H194" i="8"/>
  <c r="H195" i="8"/>
  <c r="H196" i="8"/>
  <c r="H197" i="8"/>
  <c r="H198" i="8"/>
  <c r="H3" i="8"/>
  <c r="I176" i="21" l="1"/>
  <c r="F153" i="2"/>
  <c r="F154" i="2"/>
  <c r="H205" i="8"/>
  <c r="G205" i="8"/>
  <c r="O59" i="4"/>
  <c r="Q124" i="4" l="1"/>
  <c r="N124" i="4"/>
  <c r="O121" i="4"/>
  <c r="N59" i="4"/>
  <c r="AB38" i="7"/>
  <c r="AA38" i="7"/>
  <c r="Z38" i="7"/>
  <c r="Y38" i="7"/>
  <c r="X38" i="7"/>
  <c r="W38" i="7"/>
  <c r="V38" i="7"/>
  <c r="U38" i="7"/>
  <c r="T38" i="7"/>
  <c r="S38" i="7"/>
  <c r="R38" i="7"/>
  <c r="Q38" i="7"/>
  <c r="P38" i="7"/>
  <c r="O38" i="7"/>
  <c r="N38" i="7"/>
  <c r="M38" i="7"/>
  <c r="L38" i="7"/>
  <c r="K38" i="7"/>
  <c r="J38" i="7"/>
  <c r="I38" i="7"/>
  <c r="H38" i="7"/>
  <c r="F38" i="7"/>
  <c r="E38" i="7"/>
  <c r="G38" i="7"/>
  <c r="D37" i="7"/>
  <c r="N112" i="4"/>
  <c r="O25" i="4"/>
  <c r="Q96" i="4"/>
  <c r="P108" i="4"/>
  <c r="R108" i="4" s="1"/>
  <c r="O98" i="4"/>
  <c r="O125" i="4"/>
  <c r="Q163" i="4"/>
  <c r="Q150" i="4"/>
  <c r="Q160" i="4"/>
  <c r="Q167" i="4"/>
  <c r="O173" i="4"/>
  <c r="N176" i="4"/>
  <c r="P180" i="4"/>
  <c r="R180" i="4" s="1"/>
  <c r="N190" i="4"/>
  <c r="N125" i="4" l="1"/>
  <c r="Q143" i="4"/>
  <c r="Q154" i="4"/>
  <c r="Q131" i="4"/>
  <c r="Q117" i="4"/>
  <c r="Q109" i="4"/>
  <c r="N44" i="4"/>
  <c r="N35" i="4" s="1"/>
  <c r="Q89" i="4"/>
  <c r="Q81" i="4"/>
  <c r="Q76" i="4"/>
  <c r="Q64" i="4"/>
  <c r="Q35" i="4" s="1"/>
  <c r="Q33" i="4"/>
  <c r="Q5" i="4"/>
  <c r="Q3" i="4"/>
  <c r="R32" i="4"/>
  <c r="R31" i="4"/>
  <c r="N181" i="4"/>
  <c r="N167" i="4"/>
  <c r="D41" i="7"/>
  <c r="D42" i="7" s="1"/>
  <c r="D36" i="7"/>
  <c r="D34" i="7"/>
  <c r="D33" i="7"/>
  <c r="D31" i="7"/>
  <c r="D30" i="7"/>
  <c r="N154" i="4"/>
  <c r="N209" i="4"/>
  <c r="N195" i="4" s="1"/>
  <c r="N143" i="4"/>
  <c r="N81" i="4"/>
  <c r="N76" i="4"/>
  <c r="N89" i="4"/>
  <c r="N96" i="4"/>
  <c r="N109" i="4"/>
  <c r="N117" i="4"/>
  <c r="N131" i="4"/>
  <c r="N33" i="4"/>
  <c r="N3" i="4"/>
  <c r="N5" i="4"/>
  <c r="O195" i="4"/>
  <c r="O181" i="4"/>
  <c r="O167" i="4"/>
  <c r="O154" i="4"/>
  <c r="O143" i="4"/>
  <c r="O131" i="4"/>
  <c r="O117" i="4"/>
  <c r="O109" i="4"/>
  <c r="O96" i="4"/>
  <c r="O89" i="4"/>
  <c r="O81" i="4"/>
  <c r="O76" i="4"/>
  <c r="O35" i="4"/>
  <c r="O3" i="4"/>
  <c r="V35" i="7"/>
  <c r="U35" i="7"/>
  <c r="U39" i="7" s="1"/>
  <c r="T35" i="7"/>
  <c r="S35" i="7"/>
  <c r="R35" i="7"/>
  <c r="Q35" i="7"/>
  <c r="V32" i="7"/>
  <c r="U32" i="7"/>
  <c r="T32" i="7"/>
  <c r="S32" i="7"/>
  <c r="S39" i="7" s="1"/>
  <c r="R32" i="7"/>
  <c r="R39" i="7" s="1"/>
  <c r="Q32" i="7"/>
  <c r="D16" i="7"/>
  <c r="D17" i="7"/>
  <c r="D18" i="7"/>
  <c r="D19" i="7"/>
  <c r="D20" i="7"/>
  <c r="D21" i="7"/>
  <c r="D22" i="7"/>
  <c r="D23" i="7"/>
  <c r="D24" i="7"/>
  <c r="D25" i="7"/>
  <c r="D26" i="7"/>
  <c r="D27" i="7"/>
  <c r="D15" i="7"/>
  <c r="AB42" i="7"/>
  <c r="AA42" i="7"/>
  <c r="Z42" i="7"/>
  <c r="Y42" i="7"/>
  <c r="X42" i="7"/>
  <c r="W42" i="7"/>
  <c r="AB39" i="7"/>
  <c r="AA39" i="7"/>
  <c r="Z39" i="7"/>
  <c r="Y39" i="7"/>
  <c r="X39" i="7"/>
  <c r="W39" i="7"/>
  <c r="AB28" i="7"/>
  <c r="AA28" i="7"/>
  <c r="Z28" i="7"/>
  <c r="Y28" i="7"/>
  <c r="X28" i="7"/>
  <c r="W28" i="7"/>
  <c r="V42" i="7"/>
  <c r="U42" i="7"/>
  <c r="T42" i="7"/>
  <c r="S42" i="7"/>
  <c r="R42" i="7"/>
  <c r="Q42" i="7"/>
  <c r="V39" i="7"/>
  <c r="Q39" i="7"/>
  <c r="V28" i="7"/>
  <c r="U28" i="7"/>
  <c r="T28" i="7"/>
  <c r="S28" i="7"/>
  <c r="R28" i="7"/>
  <c r="Q28" i="7"/>
  <c r="I216" i="4"/>
  <c r="J216" i="4"/>
  <c r="K216" i="4"/>
  <c r="H216" i="4"/>
  <c r="L216" i="4" s="1"/>
  <c r="M215" i="4"/>
  <c r="P215" i="4" s="1"/>
  <c r="R215" i="4" s="1"/>
  <c r="M214" i="4"/>
  <c r="P214" i="4" s="1"/>
  <c r="R214" i="4" s="1"/>
  <c r="M213" i="4"/>
  <c r="P213" i="4" s="1"/>
  <c r="R213" i="4" s="1"/>
  <c r="M212" i="4"/>
  <c r="P212" i="4" s="1"/>
  <c r="R212" i="4" s="1"/>
  <c r="M211" i="4"/>
  <c r="P211" i="4" s="1"/>
  <c r="R211" i="4" s="1"/>
  <c r="M210" i="4"/>
  <c r="P210" i="4" s="1"/>
  <c r="R210" i="4" s="1"/>
  <c r="M209" i="4"/>
  <c r="M207" i="4"/>
  <c r="P207" i="4" s="1"/>
  <c r="R207" i="4" s="1"/>
  <c r="M206" i="4"/>
  <c r="P206" i="4" s="1"/>
  <c r="Q206" i="4" s="1"/>
  <c r="M205" i="4"/>
  <c r="P205" i="4" s="1"/>
  <c r="R205" i="4" s="1"/>
  <c r="M204" i="4"/>
  <c r="P204" i="4" s="1"/>
  <c r="Q204" i="4" s="1"/>
  <c r="M203" i="4"/>
  <c r="P203" i="4" s="1"/>
  <c r="R203" i="4" s="1"/>
  <c r="M202" i="4"/>
  <c r="P202" i="4" s="1"/>
  <c r="R202" i="4" s="1"/>
  <c r="M201" i="4"/>
  <c r="P201" i="4" s="1"/>
  <c r="M200" i="4"/>
  <c r="P200" i="4" s="1"/>
  <c r="M199" i="4"/>
  <c r="P199" i="4" s="1"/>
  <c r="R199" i="4" s="1"/>
  <c r="M198" i="4"/>
  <c r="P198" i="4" s="1"/>
  <c r="R198" i="4" s="1"/>
  <c r="M197" i="4"/>
  <c r="P197" i="4" s="1"/>
  <c r="Q197" i="4" s="1"/>
  <c r="M196" i="4"/>
  <c r="P196" i="4" s="1"/>
  <c r="Q196" i="4" s="1"/>
  <c r="M195" i="4"/>
  <c r="M194" i="4"/>
  <c r="P194" i="4" s="1"/>
  <c r="R194" i="4" s="1"/>
  <c r="M193" i="4"/>
  <c r="P193" i="4" s="1"/>
  <c r="R193" i="4" s="1"/>
  <c r="M192" i="4"/>
  <c r="P192" i="4" s="1"/>
  <c r="R192" i="4" s="1"/>
  <c r="M191" i="4"/>
  <c r="P191" i="4" s="1"/>
  <c r="R191" i="4" s="1"/>
  <c r="M190" i="4"/>
  <c r="P190" i="4" s="1"/>
  <c r="Q181" i="4" s="1"/>
  <c r="M189" i="4"/>
  <c r="P189" i="4" s="1"/>
  <c r="R189" i="4" s="1"/>
  <c r="M188" i="4"/>
  <c r="P188" i="4" s="1"/>
  <c r="R188" i="4" s="1"/>
  <c r="M187" i="4"/>
  <c r="P187" i="4" s="1"/>
  <c r="R187" i="4" s="1"/>
  <c r="M186" i="4"/>
  <c r="P186" i="4" s="1"/>
  <c r="R186" i="4" s="1"/>
  <c r="M185" i="4"/>
  <c r="P185" i="4" s="1"/>
  <c r="R185" i="4" s="1"/>
  <c r="M184" i="4"/>
  <c r="P184" i="4" s="1"/>
  <c r="R184" i="4" s="1"/>
  <c r="M183" i="4"/>
  <c r="P183" i="4" s="1"/>
  <c r="R183" i="4" s="1"/>
  <c r="M182" i="4"/>
  <c r="P182" i="4" s="1"/>
  <c r="R182" i="4" s="1"/>
  <c r="M181" i="4"/>
  <c r="M179" i="4"/>
  <c r="P179" i="4" s="1"/>
  <c r="R179" i="4" s="1"/>
  <c r="M178" i="4"/>
  <c r="P178" i="4" s="1"/>
  <c r="R178" i="4" s="1"/>
  <c r="M177" i="4"/>
  <c r="P177" i="4" s="1"/>
  <c r="R177" i="4" s="1"/>
  <c r="M176" i="4"/>
  <c r="P176" i="4" s="1"/>
  <c r="R176" i="4" s="1"/>
  <c r="M175" i="4"/>
  <c r="P175" i="4" s="1"/>
  <c r="R175" i="4" s="1"/>
  <c r="M174" i="4"/>
  <c r="P174" i="4" s="1"/>
  <c r="R174" i="4" s="1"/>
  <c r="M173" i="4"/>
  <c r="P173" i="4" s="1"/>
  <c r="R173" i="4" s="1"/>
  <c r="M172" i="4"/>
  <c r="P172" i="4" s="1"/>
  <c r="R172" i="4" s="1"/>
  <c r="M171" i="4"/>
  <c r="P171" i="4" s="1"/>
  <c r="R171" i="4" s="1"/>
  <c r="M170" i="4"/>
  <c r="P170" i="4" s="1"/>
  <c r="R170" i="4" s="1"/>
  <c r="M169" i="4"/>
  <c r="P169" i="4" s="1"/>
  <c r="R169" i="4" s="1"/>
  <c r="M168" i="4"/>
  <c r="P168" i="4" s="1"/>
  <c r="R168" i="4" s="1"/>
  <c r="M167" i="4"/>
  <c r="M166" i="4"/>
  <c r="P166" i="4" s="1"/>
  <c r="R166" i="4" s="1"/>
  <c r="M165" i="4"/>
  <c r="P165" i="4" s="1"/>
  <c r="R165" i="4" s="1"/>
  <c r="M164" i="4"/>
  <c r="P164" i="4" s="1"/>
  <c r="R164" i="4" s="1"/>
  <c r="M163" i="4"/>
  <c r="P163" i="4" s="1"/>
  <c r="R163" i="4" s="1"/>
  <c r="M162" i="4"/>
  <c r="P162" i="4" s="1"/>
  <c r="R162" i="4" s="1"/>
  <c r="M161" i="4"/>
  <c r="P161" i="4" s="1"/>
  <c r="R161" i="4" s="1"/>
  <c r="M160" i="4"/>
  <c r="P160" i="4" s="1"/>
  <c r="R160" i="4" s="1"/>
  <c r="M159" i="4"/>
  <c r="P159" i="4" s="1"/>
  <c r="R159" i="4" s="1"/>
  <c r="M158" i="4"/>
  <c r="P158" i="4" s="1"/>
  <c r="R158" i="4" s="1"/>
  <c r="M157" i="4"/>
  <c r="P157" i="4" s="1"/>
  <c r="R157" i="4" s="1"/>
  <c r="M156" i="4"/>
  <c r="P156" i="4" s="1"/>
  <c r="R156" i="4" s="1"/>
  <c r="M155" i="4"/>
  <c r="P155" i="4" s="1"/>
  <c r="R155" i="4" s="1"/>
  <c r="M154" i="4"/>
  <c r="M153" i="4"/>
  <c r="P153" i="4" s="1"/>
  <c r="R153" i="4" s="1"/>
  <c r="M152" i="4"/>
  <c r="P152" i="4" s="1"/>
  <c r="R152" i="4" s="1"/>
  <c r="M151" i="4"/>
  <c r="P151" i="4" s="1"/>
  <c r="R151" i="4" s="1"/>
  <c r="M150" i="4"/>
  <c r="P150" i="4" s="1"/>
  <c r="R150" i="4" s="1"/>
  <c r="M149" i="4"/>
  <c r="P149" i="4" s="1"/>
  <c r="R149" i="4" s="1"/>
  <c r="M148" i="4"/>
  <c r="P148" i="4" s="1"/>
  <c r="R148" i="4" s="1"/>
  <c r="M147" i="4"/>
  <c r="P147" i="4" s="1"/>
  <c r="R147" i="4" s="1"/>
  <c r="M146" i="4"/>
  <c r="P146" i="4" s="1"/>
  <c r="R146" i="4" s="1"/>
  <c r="M145" i="4"/>
  <c r="P145" i="4" s="1"/>
  <c r="R145" i="4" s="1"/>
  <c r="M144" i="4"/>
  <c r="P144" i="4" s="1"/>
  <c r="R144" i="4" s="1"/>
  <c r="M143" i="4"/>
  <c r="M142" i="4"/>
  <c r="P142" i="4" s="1"/>
  <c r="R142" i="4" s="1"/>
  <c r="M141" i="4"/>
  <c r="P141" i="4" s="1"/>
  <c r="R141" i="4" s="1"/>
  <c r="M140" i="4"/>
  <c r="P140" i="4" s="1"/>
  <c r="R140" i="4" s="1"/>
  <c r="M139" i="4"/>
  <c r="P139" i="4" s="1"/>
  <c r="R139" i="4" s="1"/>
  <c r="M138" i="4"/>
  <c r="P138" i="4" s="1"/>
  <c r="R138" i="4" s="1"/>
  <c r="M137" i="4"/>
  <c r="P137" i="4" s="1"/>
  <c r="R137" i="4" s="1"/>
  <c r="M136" i="4"/>
  <c r="P136" i="4" s="1"/>
  <c r="R136" i="4" s="1"/>
  <c r="M135" i="4"/>
  <c r="P135" i="4" s="1"/>
  <c r="R135" i="4" s="1"/>
  <c r="M134" i="4"/>
  <c r="P134" i="4" s="1"/>
  <c r="R134" i="4" s="1"/>
  <c r="M133" i="4"/>
  <c r="P133" i="4" s="1"/>
  <c r="R133" i="4" s="1"/>
  <c r="M132" i="4"/>
  <c r="P132" i="4" s="1"/>
  <c r="R132" i="4" s="1"/>
  <c r="M131" i="4"/>
  <c r="M130" i="4"/>
  <c r="P130" i="4" s="1"/>
  <c r="R130" i="4" s="1"/>
  <c r="M129" i="4"/>
  <c r="P129" i="4" s="1"/>
  <c r="R129" i="4" s="1"/>
  <c r="M128" i="4"/>
  <c r="P128" i="4" s="1"/>
  <c r="R128" i="4" s="1"/>
  <c r="M127" i="4"/>
  <c r="P127" i="4" s="1"/>
  <c r="R127" i="4" s="1"/>
  <c r="M126" i="4"/>
  <c r="P126" i="4" s="1"/>
  <c r="R126" i="4" s="1"/>
  <c r="M125" i="4"/>
  <c r="P125" i="4" s="1"/>
  <c r="R125" i="4" s="1"/>
  <c r="M124" i="4"/>
  <c r="P124" i="4" s="1"/>
  <c r="R124" i="4" s="1"/>
  <c r="M123" i="4"/>
  <c r="P123" i="4" s="1"/>
  <c r="R123" i="4" s="1"/>
  <c r="M122" i="4"/>
  <c r="P122" i="4" s="1"/>
  <c r="R122" i="4" s="1"/>
  <c r="M121" i="4"/>
  <c r="P121" i="4" s="1"/>
  <c r="R121" i="4" s="1"/>
  <c r="M120" i="4"/>
  <c r="P120" i="4" s="1"/>
  <c r="R120" i="4" s="1"/>
  <c r="M119" i="4"/>
  <c r="P119" i="4" s="1"/>
  <c r="R119" i="4" s="1"/>
  <c r="M118" i="4"/>
  <c r="P118" i="4" s="1"/>
  <c r="R118" i="4" s="1"/>
  <c r="M117" i="4"/>
  <c r="M116" i="4"/>
  <c r="P116" i="4" s="1"/>
  <c r="R116" i="4" s="1"/>
  <c r="M115" i="4"/>
  <c r="P115" i="4" s="1"/>
  <c r="R115" i="4" s="1"/>
  <c r="M114" i="4"/>
  <c r="P114" i="4" s="1"/>
  <c r="R114" i="4" s="1"/>
  <c r="M113" i="4"/>
  <c r="P113" i="4" s="1"/>
  <c r="R113" i="4" s="1"/>
  <c r="M112" i="4"/>
  <c r="P112" i="4" s="1"/>
  <c r="R112" i="4" s="1"/>
  <c r="M111" i="4"/>
  <c r="P111" i="4" s="1"/>
  <c r="R111" i="4" s="1"/>
  <c r="M110" i="4"/>
  <c r="P110" i="4" s="1"/>
  <c r="R110" i="4" s="1"/>
  <c r="M109" i="4"/>
  <c r="M107" i="4"/>
  <c r="P107" i="4" s="1"/>
  <c r="R107" i="4" s="1"/>
  <c r="M106" i="4"/>
  <c r="P106" i="4" s="1"/>
  <c r="R106" i="4" s="1"/>
  <c r="M105" i="4"/>
  <c r="P105" i="4" s="1"/>
  <c r="R105" i="4" s="1"/>
  <c r="M104" i="4"/>
  <c r="P104" i="4" s="1"/>
  <c r="R104" i="4" s="1"/>
  <c r="M103" i="4"/>
  <c r="P103" i="4" s="1"/>
  <c r="R103" i="4" s="1"/>
  <c r="M102" i="4"/>
  <c r="P102" i="4" s="1"/>
  <c r="R102" i="4" s="1"/>
  <c r="M101" i="4"/>
  <c r="P101" i="4" s="1"/>
  <c r="R101" i="4" s="1"/>
  <c r="M100" i="4"/>
  <c r="P100" i="4" s="1"/>
  <c r="R100" i="4" s="1"/>
  <c r="M99" i="4"/>
  <c r="P99" i="4" s="1"/>
  <c r="R99" i="4" s="1"/>
  <c r="M98" i="4"/>
  <c r="P98" i="4" s="1"/>
  <c r="R98" i="4" s="1"/>
  <c r="M97" i="4"/>
  <c r="P97" i="4" s="1"/>
  <c r="R97" i="4" s="1"/>
  <c r="M96" i="4"/>
  <c r="M95" i="4"/>
  <c r="P95" i="4" s="1"/>
  <c r="R95" i="4" s="1"/>
  <c r="M94" i="4"/>
  <c r="P94" i="4" s="1"/>
  <c r="R94" i="4" s="1"/>
  <c r="M93" i="4"/>
  <c r="P93" i="4" s="1"/>
  <c r="R93" i="4" s="1"/>
  <c r="M92" i="4"/>
  <c r="P92" i="4" s="1"/>
  <c r="R92" i="4" s="1"/>
  <c r="M91" i="4"/>
  <c r="P91" i="4" s="1"/>
  <c r="R91" i="4" s="1"/>
  <c r="M90" i="4"/>
  <c r="P90" i="4" s="1"/>
  <c r="R90" i="4" s="1"/>
  <c r="M89" i="4"/>
  <c r="M88" i="4"/>
  <c r="P88" i="4" s="1"/>
  <c r="R88" i="4" s="1"/>
  <c r="M87" i="4"/>
  <c r="P87" i="4" s="1"/>
  <c r="R87" i="4" s="1"/>
  <c r="M86" i="4"/>
  <c r="P86" i="4" s="1"/>
  <c r="R86" i="4" s="1"/>
  <c r="M85" i="4"/>
  <c r="P85" i="4" s="1"/>
  <c r="R85" i="4" s="1"/>
  <c r="M84" i="4"/>
  <c r="P84" i="4" s="1"/>
  <c r="R84" i="4" s="1"/>
  <c r="M83" i="4"/>
  <c r="P83" i="4" s="1"/>
  <c r="R83" i="4" s="1"/>
  <c r="M82" i="4"/>
  <c r="P82" i="4" s="1"/>
  <c r="R82" i="4" s="1"/>
  <c r="M81" i="4"/>
  <c r="M80" i="4"/>
  <c r="P80" i="4" s="1"/>
  <c r="R80" i="4" s="1"/>
  <c r="M79" i="4"/>
  <c r="P79" i="4" s="1"/>
  <c r="R79" i="4" s="1"/>
  <c r="M78" i="4"/>
  <c r="P78" i="4" s="1"/>
  <c r="R78" i="4" s="1"/>
  <c r="M77" i="4"/>
  <c r="P77" i="4" s="1"/>
  <c r="R77" i="4" s="1"/>
  <c r="M76" i="4"/>
  <c r="M75" i="4"/>
  <c r="P75" i="4" s="1"/>
  <c r="R75" i="4" s="1"/>
  <c r="M74" i="4"/>
  <c r="P74" i="4" s="1"/>
  <c r="R74" i="4" s="1"/>
  <c r="M73" i="4"/>
  <c r="P73" i="4" s="1"/>
  <c r="R73" i="4" s="1"/>
  <c r="M72" i="4"/>
  <c r="P72" i="4" s="1"/>
  <c r="R72" i="4" s="1"/>
  <c r="M71" i="4"/>
  <c r="P71" i="4" s="1"/>
  <c r="R71" i="4" s="1"/>
  <c r="M70" i="4"/>
  <c r="P70" i="4" s="1"/>
  <c r="R70" i="4" s="1"/>
  <c r="M69" i="4"/>
  <c r="P69" i="4" s="1"/>
  <c r="R69" i="4" s="1"/>
  <c r="M68" i="4"/>
  <c r="P68" i="4" s="1"/>
  <c r="R68" i="4" s="1"/>
  <c r="M67" i="4"/>
  <c r="P67" i="4" s="1"/>
  <c r="R67" i="4" s="1"/>
  <c r="M66" i="4"/>
  <c r="P66" i="4" s="1"/>
  <c r="R66" i="4" s="1"/>
  <c r="M65" i="4"/>
  <c r="P65" i="4" s="1"/>
  <c r="R65" i="4" s="1"/>
  <c r="M64" i="4"/>
  <c r="P64" i="4" s="1"/>
  <c r="M63" i="4"/>
  <c r="P63" i="4" s="1"/>
  <c r="R63" i="4" s="1"/>
  <c r="M62" i="4"/>
  <c r="P62" i="4" s="1"/>
  <c r="R62" i="4" s="1"/>
  <c r="M61" i="4"/>
  <c r="P61" i="4" s="1"/>
  <c r="R61" i="4" s="1"/>
  <c r="M60" i="4"/>
  <c r="P60" i="4" s="1"/>
  <c r="R60" i="4" s="1"/>
  <c r="M59" i="4"/>
  <c r="M58" i="4"/>
  <c r="P58" i="4" s="1"/>
  <c r="R58" i="4" s="1"/>
  <c r="M57" i="4"/>
  <c r="P57" i="4" s="1"/>
  <c r="R57" i="4" s="1"/>
  <c r="M56" i="4"/>
  <c r="P56" i="4" s="1"/>
  <c r="R56" i="4" s="1"/>
  <c r="M55" i="4"/>
  <c r="P55" i="4" s="1"/>
  <c r="R55" i="4" s="1"/>
  <c r="M54" i="4"/>
  <c r="P54" i="4" s="1"/>
  <c r="M53" i="4"/>
  <c r="P53" i="4" s="1"/>
  <c r="R53" i="4" s="1"/>
  <c r="M52" i="4"/>
  <c r="P52" i="4" s="1"/>
  <c r="M51" i="4"/>
  <c r="P51" i="4" s="1"/>
  <c r="R51" i="4" s="1"/>
  <c r="M50" i="4"/>
  <c r="P50" i="4" s="1"/>
  <c r="R50" i="4" s="1"/>
  <c r="M49" i="4"/>
  <c r="P49" i="4" s="1"/>
  <c r="R49" i="4" s="1"/>
  <c r="M48" i="4"/>
  <c r="P48" i="4" s="1"/>
  <c r="R48" i="4" s="1"/>
  <c r="M47" i="4"/>
  <c r="P47" i="4" s="1"/>
  <c r="R47" i="4" s="1"/>
  <c r="M46" i="4"/>
  <c r="P46" i="4" s="1"/>
  <c r="R46" i="4" s="1"/>
  <c r="M45" i="4"/>
  <c r="P45" i="4" s="1"/>
  <c r="R45" i="4" s="1"/>
  <c r="M44" i="4"/>
  <c r="M43" i="4"/>
  <c r="P43" i="4" s="1"/>
  <c r="R43" i="4" s="1"/>
  <c r="M42" i="4"/>
  <c r="P42" i="4" s="1"/>
  <c r="R42" i="4" s="1"/>
  <c r="M41" i="4"/>
  <c r="P41" i="4" s="1"/>
  <c r="R41" i="4" s="1"/>
  <c r="M40" i="4"/>
  <c r="P40" i="4" s="1"/>
  <c r="R40" i="4" s="1"/>
  <c r="M39" i="4"/>
  <c r="P39" i="4" s="1"/>
  <c r="R39" i="4" s="1"/>
  <c r="M38" i="4"/>
  <c r="P38" i="4" s="1"/>
  <c r="R38" i="4" s="1"/>
  <c r="M37" i="4"/>
  <c r="P37" i="4" s="1"/>
  <c r="R37" i="4" s="1"/>
  <c r="M36" i="4"/>
  <c r="P36" i="4" s="1"/>
  <c r="R36" i="4" s="1"/>
  <c r="M35" i="4"/>
  <c r="M34" i="4"/>
  <c r="P34" i="4" s="1"/>
  <c r="R34" i="4" s="1"/>
  <c r="M33" i="4"/>
  <c r="M32" i="4"/>
  <c r="M31" i="4"/>
  <c r="M30" i="4"/>
  <c r="P30" i="4" s="1"/>
  <c r="R30" i="4" s="1"/>
  <c r="M29" i="4"/>
  <c r="P29" i="4" s="1"/>
  <c r="R29" i="4" s="1"/>
  <c r="M28" i="4"/>
  <c r="P28" i="4" s="1"/>
  <c r="R28" i="4" s="1"/>
  <c r="M27" i="4"/>
  <c r="P27" i="4" s="1"/>
  <c r="R27" i="4" s="1"/>
  <c r="M26" i="4"/>
  <c r="P26" i="4" s="1"/>
  <c r="R26" i="4" s="1"/>
  <c r="M25" i="4"/>
  <c r="O5" i="4" s="1"/>
  <c r="M24" i="4"/>
  <c r="P24" i="4" s="1"/>
  <c r="R24" i="4" s="1"/>
  <c r="M23" i="4"/>
  <c r="P23" i="4" s="1"/>
  <c r="R23" i="4" s="1"/>
  <c r="M22" i="4"/>
  <c r="P22" i="4" s="1"/>
  <c r="R22" i="4" s="1"/>
  <c r="M21" i="4"/>
  <c r="P21" i="4" s="1"/>
  <c r="R21" i="4" s="1"/>
  <c r="M20" i="4"/>
  <c r="P20" i="4" s="1"/>
  <c r="R20" i="4" s="1"/>
  <c r="M19" i="4"/>
  <c r="P19" i="4" s="1"/>
  <c r="R19" i="4" s="1"/>
  <c r="M18" i="4"/>
  <c r="P18" i="4" s="1"/>
  <c r="R18" i="4" s="1"/>
  <c r="M17" i="4"/>
  <c r="P17" i="4" s="1"/>
  <c r="R17" i="4" s="1"/>
  <c r="M16" i="4"/>
  <c r="P16" i="4" s="1"/>
  <c r="R16" i="4" s="1"/>
  <c r="M15" i="4"/>
  <c r="P15" i="4" s="1"/>
  <c r="R15" i="4" s="1"/>
  <c r="M14" i="4"/>
  <c r="P14" i="4" s="1"/>
  <c r="R14" i="4" s="1"/>
  <c r="M13" i="4"/>
  <c r="P13" i="4" s="1"/>
  <c r="R13" i="4" s="1"/>
  <c r="M12" i="4"/>
  <c r="P12" i="4" s="1"/>
  <c r="R12" i="4" s="1"/>
  <c r="M11" i="4"/>
  <c r="P11" i="4" s="1"/>
  <c r="R11" i="4" s="1"/>
  <c r="M10" i="4"/>
  <c r="P10" i="4" s="1"/>
  <c r="R10" i="4" s="1"/>
  <c r="M9" i="4"/>
  <c r="P9" i="4" s="1"/>
  <c r="R9" i="4" s="1"/>
  <c r="M8" i="4"/>
  <c r="P8" i="4" s="1"/>
  <c r="R8" i="4" s="1"/>
  <c r="M7" i="4"/>
  <c r="P7" i="4" s="1"/>
  <c r="R7" i="4" s="1"/>
  <c r="M6" i="4"/>
  <c r="P6" i="4" s="1"/>
  <c r="R6" i="4" s="1"/>
  <c r="M5" i="4"/>
  <c r="M4" i="4"/>
  <c r="P4" i="4" s="1"/>
  <c r="P3" i="4" s="1"/>
  <c r="M3" i="4"/>
  <c r="P42" i="7"/>
  <c r="O42" i="7"/>
  <c r="N42" i="7"/>
  <c r="M42" i="7"/>
  <c r="L42" i="7"/>
  <c r="K42" i="7"/>
  <c r="J42" i="7"/>
  <c r="I42" i="7"/>
  <c r="H42" i="7"/>
  <c r="G42" i="7"/>
  <c r="F42" i="7"/>
  <c r="E42" i="7"/>
  <c r="D38" i="7"/>
  <c r="P35" i="7"/>
  <c r="O35" i="7"/>
  <c r="N35" i="7"/>
  <c r="M35" i="7"/>
  <c r="L35" i="7"/>
  <c r="K35" i="7"/>
  <c r="J35" i="7"/>
  <c r="I35" i="7"/>
  <c r="H35" i="7"/>
  <c r="G35" i="7"/>
  <c r="F35" i="7"/>
  <c r="E35" i="7"/>
  <c r="P32" i="7"/>
  <c r="O32" i="7"/>
  <c r="N32" i="7"/>
  <c r="M32" i="7"/>
  <c r="L32" i="7"/>
  <c r="K32" i="7"/>
  <c r="J32" i="7"/>
  <c r="I32" i="7"/>
  <c r="H32" i="7"/>
  <c r="G32" i="7"/>
  <c r="F32" i="7"/>
  <c r="E32" i="7"/>
  <c r="P28" i="7"/>
  <c r="O28" i="7"/>
  <c r="N28" i="7"/>
  <c r="M28" i="7"/>
  <c r="L28" i="7"/>
  <c r="K28" i="7"/>
  <c r="J28" i="7"/>
  <c r="I28" i="7"/>
  <c r="H28" i="7"/>
  <c r="G28" i="7"/>
  <c r="F28" i="7"/>
  <c r="D32" i="7" l="1"/>
  <c r="T39" i="7"/>
  <c r="D35" i="7"/>
  <c r="P44" i="4"/>
  <c r="R44" i="4" s="1"/>
  <c r="P209" i="4"/>
  <c r="R196" i="4"/>
  <c r="R204" i="4"/>
  <c r="R197" i="4"/>
  <c r="Q200" i="4"/>
  <c r="R200" i="4" s="1"/>
  <c r="R206" i="4"/>
  <c r="Q201" i="4"/>
  <c r="R201" i="4" s="1"/>
  <c r="R190" i="4"/>
  <c r="R64" i="4"/>
  <c r="R52" i="4"/>
  <c r="R4" i="4"/>
  <c r="R54" i="4"/>
  <c r="P59" i="4"/>
  <c r="R59" i="4" s="1"/>
  <c r="R3" i="4"/>
  <c r="R209" i="4"/>
  <c r="P81" i="4"/>
  <c r="R81" i="4" s="1"/>
  <c r="P154" i="4"/>
  <c r="R154" i="4" s="1"/>
  <c r="P89" i="4"/>
  <c r="R89" i="4" s="1"/>
  <c r="P143" i="4"/>
  <c r="R143" i="4" s="1"/>
  <c r="P109" i="4"/>
  <c r="R109" i="4" s="1"/>
  <c r="P117" i="4"/>
  <c r="R117" i="4" s="1"/>
  <c r="P76" i="4"/>
  <c r="R76" i="4" s="1"/>
  <c r="P131" i="4"/>
  <c r="R131" i="4" s="1"/>
  <c r="P33" i="4"/>
  <c r="R33" i="4" s="1"/>
  <c r="P181" i="4"/>
  <c r="R181" i="4" s="1"/>
  <c r="O33" i="4"/>
  <c r="O216" i="4" s="1"/>
  <c r="P25" i="4"/>
  <c r="P167" i="4"/>
  <c r="R167" i="4" s="1"/>
  <c r="P96" i="4"/>
  <c r="R96" i="4" s="1"/>
  <c r="N216" i="4"/>
  <c r="U43" i="7"/>
  <c r="Y43" i="7"/>
  <c r="V43" i="7"/>
  <c r="Z43" i="7"/>
  <c r="AA43" i="7"/>
  <c r="AB43" i="7"/>
  <c r="Q43" i="7"/>
  <c r="R43" i="7"/>
  <c r="S43" i="7"/>
  <c r="T43" i="7"/>
  <c r="E28" i="7"/>
  <c r="D28" i="7"/>
  <c r="W43" i="7"/>
  <c r="X43" i="7"/>
  <c r="O39" i="7"/>
  <c r="O43" i="7" s="1"/>
  <c r="E39" i="7"/>
  <c r="M39" i="7"/>
  <c r="M43" i="7" s="1"/>
  <c r="F39" i="7"/>
  <c r="F43" i="7" s="1"/>
  <c r="N39" i="7"/>
  <c r="N43" i="7" s="1"/>
  <c r="P39" i="7"/>
  <c r="P43" i="7" s="1"/>
  <c r="H39" i="7"/>
  <c r="H43" i="7" s="1"/>
  <c r="G39" i="7"/>
  <c r="G43" i="7" s="1"/>
  <c r="I39" i="7"/>
  <c r="I43" i="7" s="1"/>
  <c r="J39" i="7"/>
  <c r="J43" i="7" s="1"/>
  <c r="K39" i="7"/>
  <c r="K43" i="7" s="1"/>
  <c r="L39" i="7"/>
  <c r="L43" i="7" s="1"/>
  <c r="M216" i="4"/>
  <c r="D39" i="7" l="1"/>
  <c r="Z44" i="7"/>
  <c r="P35" i="4"/>
  <c r="R35" i="4" s="1"/>
  <c r="Q195" i="4"/>
  <c r="Q216" i="4" s="1"/>
  <c r="P195" i="4"/>
  <c r="P5" i="4"/>
  <c r="R5" i="4" s="1"/>
  <c r="R25" i="4"/>
  <c r="W44" i="7"/>
  <c r="Q44" i="7"/>
  <c r="K44" i="7"/>
  <c r="T44" i="7"/>
  <c r="H44" i="7"/>
  <c r="N44" i="7"/>
  <c r="K45" i="7" s="1"/>
  <c r="E43" i="7"/>
  <c r="E44" i="7" s="1"/>
  <c r="D43" i="7"/>
  <c r="W45" i="7" l="1"/>
  <c r="Q45" i="7"/>
  <c r="R195" i="4"/>
  <c r="P216" i="4"/>
  <c r="R216" i="4" s="1"/>
  <c r="E45" i="7"/>
  <c r="E46" i="7" s="1"/>
  <c r="Q46" i="7" l="1"/>
  <c r="E47" i="7" s="1"/>
  <c r="J150" i="2"/>
  <c r="AO150" i="2" s="1"/>
  <c r="F150" i="2"/>
  <c r="G154" i="2"/>
  <c r="F152" i="2"/>
  <c r="F184" i="2"/>
  <c r="F183" i="2"/>
  <c r="G55" i="3" l="1"/>
  <c r="E181" i="2"/>
  <c r="E180" i="2" s="1"/>
  <c r="D181" i="2"/>
  <c r="D180" i="2" s="1"/>
  <c r="E175" i="2"/>
  <c r="D175" i="2"/>
  <c r="D170" i="2"/>
  <c r="E166" i="2"/>
  <c r="E165" i="2" s="1"/>
  <c r="D166" i="2"/>
  <c r="D165" i="2" s="1"/>
  <c r="E46" i="2"/>
  <c r="D46" i="2"/>
  <c r="E48" i="2"/>
  <c r="J171" i="2"/>
  <c r="AO171" i="2" s="1"/>
  <c r="J172" i="2"/>
  <c r="AO172" i="2" s="1"/>
  <c r="J173" i="2"/>
  <c r="AO173" i="2" s="1"/>
  <c r="J174" i="2"/>
  <c r="AO174" i="2" s="1"/>
  <c r="I44" i="2"/>
  <c r="H44" i="2"/>
  <c r="G44" i="2"/>
  <c r="G46" i="2"/>
  <c r="H46" i="2"/>
  <c r="F47" i="2"/>
  <c r="H33" i="2"/>
  <c r="G33" i="2"/>
  <c r="H27" i="2"/>
  <c r="G27" i="2"/>
  <c r="H23" i="2"/>
  <c r="G23" i="2"/>
  <c r="H39" i="2"/>
  <c r="G39" i="2"/>
  <c r="H42" i="2"/>
  <c r="G42" i="2"/>
  <c r="G43" i="2"/>
  <c r="H41" i="2"/>
  <c r="G41" i="2"/>
  <c r="H40" i="2"/>
  <c r="G40" i="2"/>
  <c r="G47" i="2"/>
  <c r="H35" i="2"/>
  <c r="H36" i="2"/>
  <c r="H37" i="2"/>
  <c r="G36" i="2"/>
  <c r="G37" i="2"/>
  <c r="G38" i="2"/>
  <c r="G35" i="2"/>
  <c r="H34" i="2"/>
  <c r="G30" i="2"/>
  <c r="G31" i="2"/>
  <c r="G32" i="2"/>
  <c r="G25" i="2"/>
  <c r="H24" i="2"/>
  <c r="G24" i="2"/>
  <c r="H30" i="2"/>
  <c r="H31" i="2"/>
  <c r="H29" i="2"/>
  <c r="G29" i="2"/>
  <c r="H28" i="2"/>
  <c r="G28" i="2"/>
  <c r="H114" i="2"/>
  <c r="H112" i="2"/>
  <c r="H115" i="2"/>
  <c r="G115" i="2"/>
  <c r="F101" i="2"/>
  <c r="H89" i="2"/>
  <c r="H99" i="2"/>
  <c r="G99" i="2"/>
  <c r="H94" i="2"/>
  <c r="G94" i="2"/>
  <c r="G56" i="2"/>
  <c r="H67" i="2"/>
  <c r="G67" i="2"/>
  <c r="F81" i="2"/>
  <c r="F82" i="2"/>
  <c r="F83" i="2"/>
  <c r="F79" i="2"/>
  <c r="F78" i="2"/>
  <c r="F77" i="2"/>
  <c r="F75" i="2"/>
  <c r="F74" i="2"/>
  <c r="F73" i="2"/>
  <c r="F71" i="2"/>
  <c r="F70" i="2"/>
  <c r="F46" i="2" l="1"/>
  <c r="H19" i="2"/>
  <c r="G19" i="2"/>
  <c r="P191" i="2" l="1"/>
  <c r="P186" i="2" s="1"/>
  <c r="O191" i="2"/>
  <c r="O186" i="2" s="1"/>
  <c r="N191" i="2"/>
  <c r="N186" i="2" s="1"/>
  <c r="M191" i="2"/>
  <c r="M186" i="2" s="1"/>
  <c r="L191" i="2"/>
  <c r="L186" i="2" s="1"/>
  <c r="K191" i="2"/>
  <c r="AN181" i="2"/>
  <c r="AN180" i="2" s="1"/>
  <c r="AM181" i="2"/>
  <c r="AM180" i="2" s="1"/>
  <c r="AL181" i="2"/>
  <c r="AL180" i="2" s="1"/>
  <c r="AK181" i="2"/>
  <c r="AK180" i="2" s="1"/>
  <c r="AJ181" i="2"/>
  <c r="AJ180" i="2" s="1"/>
  <c r="AI181" i="2"/>
  <c r="AI180" i="2" s="1"/>
  <c r="AH181" i="2"/>
  <c r="AH180" i="2" s="1"/>
  <c r="AG181" i="2"/>
  <c r="AG180" i="2" s="1"/>
  <c r="AF181" i="2"/>
  <c r="AF180" i="2" s="1"/>
  <c r="AE181" i="2"/>
  <c r="AE180" i="2" s="1"/>
  <c r="AD181" i="2"/>
  <c r="AD180" i="2" s="1"/>
  <c r="AC181" i="2"/>
  <c r="AC180" i="2" s="1"/>
  <c r="AB181" i="2"/>
  <c r="AB180" i="2" s="1"/>
  <c r="AA181" i="2"/>
  <c r="AA180" i="2" s="1"/>
  <c r="Z181" i="2"/>
  <c r="Z180" i="2" s="1"/>
  <c r="Y181" i="2"/>
  <c r="Y180" i="2" s="1"/>
  <c r="X181" i="2"/>
  <c r="X180" i="2" s="1"/>
  <c r="W181" i="2"/>
  <c r="W180" i="2" s="1"/>
  <c r="V181" i="2"/>
  <c r="V180" i="2" s="1"/>
  <c r="U181" i="2"/>
  <c r="U180" i="2" s="1"/>
  <c r="T181" i="2"/>
  <c r="T180" i="2" s="1"/>
  <c r="S181" i="2"/>
  <c r="S180" i="2" s="1"/>
  <c r="R181" i="2"/>
  <c r="P181" i="2"/>
  <c r="P180" i="2" s="1"/>
  <c r="O181" i="2"/>
  <c r="O180" i="2" s="1"/>
  <c r="N181" i="2"/>
  <c r="N180" i="2" s="1"/>
  <c r="M181" i="2"/>
  <c r="M180" i="2" s="1"/>
  <c r="L181" i="2"/>
  <c r="L180" i="2" s="1"/>
  <c r="K181" i="2"/>
  <c r="AN175" i="2"/>
  <c r="AM175" i="2"/>
  <c r="AL175" i="2"/>
  <c r="AK175" i="2"/>
  <c r="AJ175" i="2"/>
  <c r="AI175" i="2"/>
  <c r="AH175" i="2"/>
  <c r="AG175" i="2"/>
  <c r="AF175" i="2"/>
  <c r="AE175" i="2"/>
  <c r="AD175" i="2"/>
  <c r="AC175" i="2"/>
  <c r="AB175" i="2"/>
  <c r="AA175" i="2"/>
  <c r="Z175" i="2"/>
  <c r="Y175" i="2"/>
  <c r="X175" i="2"/>
  <c r="W175" i="2"/>
  <c r="V175" i="2"/>
  <c r="U175" i="2"/>
  <c r="T175" i="2"/>
  <c r="S175" i="2"/>
  <c r="R175" i="2"/>
  <c r="Q175" i="2"/>
  <c r="P175" i="2"/>
  <c r="O175" i="2"/>
  <c r="N175" i="2"/>
  <c r="M175" i="2"/>
  <c r="L175" i="2"/>
  <c r="K175" i="2"/>
  <c r="AN170" i="2"/>
  <c r="AM170" i="2"/>
  <c r="AL170" i="2"/>
  <c r="AK170" i="2"/>
  <c r="AJ170" i="2"/>
  <c r="AI170" i="2"/>
  <c r="AH170" i="2"/>
  <c r="AG170" i="2"/>
  <c r="AF170" i="2"/>
  <c r="AE170" i="2"/>
  <c r="AD170" i="2"/>
  <c r="AC170" i="2"/>
  <c r="AB170" i="2"/>
  <c r="AA170" i="2"/>
  <c r="Z170" i="2"/>
  <c r="Y170" i="2"/>
  <c r="X170" i="2"/>
  <c r="W170" i="2"/>
  <c r="V170" i="2"/>
  <c r="U170" i="2"/>
  <c r="T170" i="2"/>
  <c r="S170" i="2"/>
  <c r="R170" i="2"/>
  <c r="Q170" i="2"/>
  <c r="P170" i="2"/>
  <c r="O170" i="2"/>
  <c r="N170" i="2"/>
  <c r="M170" i="2"/>
  <c r="L170" i="2"/>
  <c r="K170" i="2"/>
  <c r="AN166" i="2"/>
  <c r="AM166" i="2"/>
  <c r="AL166" i="2"/>
  <c r="AK166" i="2"/>
  <c r="AJ166" i="2"/>
  <c r="AI166" i="2"/>
  <c r="AH166" i="2"/>
  <c r="AG166" i="2"/>
  <c r="AF166" i="2"/>
  <c r="AE166" i="2"/>
  <c r="AD166" i="2"/>
  <c r="AC166" i="2"/>
  <c r="AB166" i="2"/>
  <c r="AA166" i="2"/>
  <c r="Z166" i="2"/>
  <c r="Y166" i="2"/>
  <c r="X166" i="2"/>
  <c r="W166" i="2"/>
  <c r="V166" i="2"/>
  <c r="U166" i="2"/>
  <c r="T166" i="2"/>
  <c r="S166" i="2"/>
  <c r="R166" i="2"/>
  <c r="Q166" i="2"/>
  <c r="P166" i="2"/>
  <c r="O166" i="2"/>
  <c r="N166" i="2"/>
  <c r="M166" i="2"/>
  <c r="L166" i="2"/>
  <c r="K166"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P131" i="2"/>
  <c r="O131" i="2"/>
  <c r="N131" i="2"/>
  <c r="M131" i="2"/>
  <c r="L131" i="2"/>
  <c r="K131" i="2"/>
  <c r="AN124" i="2"/>
  <c r="AM124" i="2"/>
  <c r="AL124" i="2"/>
  <c r="AK124" i="2"/>
  <c r="AJ124" i="2"/>
  <c r="AI124" i="2"/>
  <c r="AH124" i="2"/>
  <c r="AG124" i="2"/>
  <c r="AF124" i="2"/>
  <c r="AE124" i="2"/>
  <c r="AD124" i="2"/>
  <c r="AC124" i="2"/>
  <c r="AB124" i="2"/>
  <c r="AA124" i="2"/>
  <c r="Z124" i="2"/>
  <c r="Y124" i="2"/>
  <c r="X124" i="2"/>
  <c r="W124" i="2"/>
  <c r="V124" i="2"/>
  <c r="U124" i="2"/>
  <c r="T124" i="2"/>
  <c r="S124" i="2"/>
  <c r="R124" i="2"/>
  <c r="Q124" i="2"/>
  <c r="P124" i="2"/>
  <c r="O124" i="2"/>
  <c r="N124" i="2"/>
  <c r="M124" i="2"/>
  <c r="L124" i="2"/>
  <c r="K124" i="2"/>
  <c r="AN120" i="2"/>
  <c r="AM120" i="2"/>
  <c r="AL120" i="2"/>
  <c r="AK120" i="2"/>
  <c r="AJ120" i="2"/>
  <c r="AI120" i="2"/>
  <c r="AH120" i="2"/>
  <c r="AG120" i="2"/>
  <c r="AF120" i="2"/>
  <c r="AE120" i="2"/>
  <c r="Z120" i="2"/>
  <c r="X120" i="2"/>
  <c r="W120" i="2"/>
  <c r="V120" i="2"/>
  <c r="U120" i="2"/>
  <c r="S120" i="2"/>
  <c r="R120" i="2"/>
  <c r="Q120" i="2"/>
  <c r="P120" i="2"/>
  <c r="O120" i="2"/>
  <c r="N120" i="2"/>
  <c r="M120" i="2"/>
  <c r="L120" i="2"/>
  <c r="K120" i="2"/>
  <c r="AN115" i="2"/>
  <c r="AM115" i="2"/>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AN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AN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AN99" i="2"/>
  <c r="AM99" i="2"/>
  <c r="AL99" i="2"/>
  <c r="AK99" i="2"/>
  <c r="AJ99" i="2"/>
  <c r="AI99" i="2"/>
  <c r="AH99" i="2"/>
  <c r="AG99" i="2"/>
  <c r="AF99" i="2"/>
  <c r="AE99" i="2"/>
  <c r="AD99" i="2"/>
  <c r="AC99" i="2"/>
  <c r="AB99" i="2"/>
  <c r="AA99" i="2"/>
  <c r="Z99" i="2"/>
  <c r="Y99" i="2"/>
  <c r="X99" i="2"/>
  <c r="W99" i="2"/>
  <c r="V99" i="2"/>
  <c r="U99" i="2"/>
  <c r="T99" i="2"/>
  <c r="S99" i="2"/>
  <c r="R99" i="2"/>
  <c r="Q99" i="2"/>
  <c r="P99" i="2"/>
  <c r="O99" i="2"/>
  <c r="N99" i="2"/>
  <c r="M99" i="2"/>
  <c r="L99" i="2"/>
  <c r="K99" i="2"/>
  <c r="AN94" i="2"/>
  <c r="AM94" i="2"/>
  <c r="AL94" i="2"/>
  <c r="AK94" i="2"/>
  <c r="W94" i="2"/>
  <c r="V94" i="2"/>
  <c r="U94" i="2"/>
  <c r="O94" i="2"/>
  <c r="N94" i="2"/>
  <c r="M94" i="2"/>
  <c r="L94" i="2"/>
  <c r="K94" i="2"/>
  <c r="AN89" i="2"/>
  <c r="AM89" i="2"/>
  <c r="AL89" i="2"/>
  <c r="AK89" i="2"/>
  <c r="AJ89" i="2"/>
  <c r="AI89" i="2"/>
  <c r="AH89" i="2"/>
  <c r="AG89" i="2"/>
  <c r="AF89" i="2"/>
  <c r="AE89" i="2"/>
  <c r="AD89" i="2"/>
  <c r="AC89" i="2"/>
  <c r="AB89" i="2"/>
  <c r="AA89" i="2"/>
  <c r="Z89" i="2"/>
  <c r="Y89" i="2"/>
  <c r="X89" i="2"/>
  <c r="W89" i="2"/>
  <c r="V89" i="2"/>
  <c r="U89" i="2"/>
  <c r="T89" i="2"/>
  <c r="S89" i="2"/>
  <c r="R89" i="2"/>
  <c r="Q89" i="2"/>
  <c r="P89" i="2"/>
  <c r="O89" i="2"/>
  <c r="N89" i="2"/>
  <c r="M89" i="2"/>
  <c r="L89" i="2"/>
  <c r="K89"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AN39"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AN27" i="2"/>
  <c r="AM27" i="2"/>
  <c r="AL27" i="2"/>
  <c r="AK27" i="2"/>
  <c r="AJ27" i="2"/>
  <c r="AI27" i="2"/>
  <c r="AH27" i="2"/>
  <c r="AG27" i="2"/>
  <c r="AF27" i="2"/>
  <c r="AE27" i="2"/>
  <c r="AD27" i="2"/>
  <c r="AC27" i="2"/>
  <c r="AB27" i="2"/>
  <c r="AA27" i="2"/>
  <c r="Z27" i="2"/>
  <c r="Y27" i="2"/>
  <c r="X27" i="2"/>
  <c r="W27" i="2"/>
  <c r="V27" i="2"/>
  <c r="T27" i="2"/>
  <c r="S27" i="2"/>
  <c r="Q27" i="2"/>
  <c r="P27" i="2"/>
  <c r="O27" i="2"/>
  <c r="N27" i="2"/>
  <c r="M27" i="2"/>
  <c r="L27"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F129" i="2"/>
  <c r="J18" i="2"/>
  <c r="AO18" i="2" s="1"/>
  <c r="J20" i="2"/>
  <c r="AO20" i="2" s="1"/>
  <c r="J21" i="2"/>
  <c r="AO21" i="2" s="1"/>
  <c r="J24" i="2"/>
  <c r="AO24" i="2" s="1"/>
  <c r="J25" i="2"/>
  <c r="AO25" i="2" s="1"/>
  <c r="J26" i="2"/>
  <c r="AO26" i="2" s="1"/>
  <c r="J28" i="2"/>
  <c r="AO28" i="2" s="1"/>
  <c r="J29" i="2"/>
  <c r="AO29" i="2" s="1"/>
  <c r="J30" i="2"/>
  <c r="AO30" i="2" s="1"/>
  <c r="J31" i="2"/>
  <c r="AO31" i="2" s="1"/>
  <c r="J32" i="2"/>
  <c r="AO32" i="2" s="1"/>
  <c r="J34" i="2"/>
  <c r="AO34" i="2" s="1"/>
  <c r="J35" i="2"/>
  <c r="AO35" i="2" s="1"/>
  <c r="J36" i="2"/>
  <c r="AO36" i="2" s="1"/>
  <c r="J37" i="2"/>
  <c r="AO37" i="2" s="1"/>
  <c r="J38" i="2"/>
  <c r="AO38" i="2" s="1"/>
  <c r="J40" i="2"/>
  <c r="AO40" i="2" s="1"/>
  <c r="J41" i="2"/>
  <c r="AO41" i="2" s="1"/>
  <c r="J42" i="2"/>
  <c r="AO42" i="2" s="1"/>
  <c r="J43" i="2"/>
  <c r="AO43" i="2" s="1"/>
  <c r="J45" i="2"/>
  <c r="AO45" i="2" s="1"/>
  <c r="J46" i="2"/>
  <c r="AO46" i="2" s="1"/>
  <c r="J47" i="2"/>
  <c r="AO47" i="2" s="1"/>
  <c r="J51" i="2"/>
  <c r="AO51" i="2" s="1"/>
  <c r="J52" i="2"/>
  <c r="AO52" i="2" s="1"/>
  <c r="J53" i="2"/>
  <c r="AO53" i="2" s="1"/>
  <c r="J54" i="2"/>
  <c r="AO54" i="2" s="1"/>
  <c r="J55" i="2"/>
  <c r="AO55" i="2" s="1"/>
  <c r="J57" i="2"/>
  <c r="AO57" i="2" s="1"/>
  <c r="J58" i="2"/>
  <c r="AO58" i="2" s="1"/>
  <c r="J59" i="2"/>
  <c r="AO59" i="2" s="1"/>
  <c r="J60" i="2"/>
  <c r="AO60" i="2" s="1"/>
  <c r="J61" i="2"/>
  <c r="AO61" i="2" s="1"/>
  <c r="J63" i="2"/>
  <c r="AO63" i="2" s="1"/>
  <c r="J64" i="2"/>
  <c r="AO64" i="2" s="1"/>
  <c r="J65" i="2"/>
  <c r="AO65" i="2" s="1"/>
  <c r="J66" i="2"/>
  <c r="AO66" i="2" s="1"/>
  <c r="J68" i="2"/>
  <c r="AO68" i="2" s="1"/>
  <c r="J85" i="2"/>
  <c r="AO85" i="2" s="1"/>
  <c r="J86" i="2"/>
  <c r="AO86" i="2" s="1"/>
  <c r="J87" i="2"/>
  <c r="AO87" i="2" s="1"/>
  <c r="J88" i="2"/>
  <c r="AO88" i="2" s="1"/>
  <c r="J90" i="2"/>
  <c r="AO90" i="2" s="1"/>
  <c r="J91" i="2"/>
  <c r="AO91" i="2" s="1"/>
  <c r="J92" i="2"/>
  <c r="AO92" i="2" s="1"/>
  <c r="J93" i="2"/>
  <c r="AO93" i="2" s="1"/>
  <c r="J95" i="2"/>
  <c r="AO95" i="2" s="1"/>
  <c r="J100" i="2"/>
  <c r="AO100" i="2" s="1"/>
  <c r="J101" i="2"/>
  <c r="AO101" i="2" s="1"/>
  <c r="J102" i="2"/>
  <c r="AO102" i="2" s="1"/>
  <c r="J106" i="2"/>
  <c r="AO106" i="2" s="1"/>
  <c r="J109" i="2"/>
  <c r="AO109" i="2" s="1"/>
  <c r="J110" i="2"/>
  <c r="AO110" i="2" s="1"/>
  <c r="J111" i="2"/>
  <c r="AO111" i="2" s="1"/>
  <c r="J113" i="2"/>
  <c r="AO113" i="2" s="1"/>
  <c r="J114" i="2"/>
  <c r="AO114" i="2" s="1"/>
  <c r="J116" i="2"/>
  <c r="AO116" i="2" s="1"/>
  <c r="J117" i="2"/>
  <c r="AO117" i="2" s="1"/>
  <c r="J118" i="2"/>
  <c r="AO118" i="2" s="1"/>
  <c r="J121" i="2"/>
  <c r="AO121" i="2" s="1"/>
  <c r="J122" i="2"/>
  <c r="AO122" i="2" s="1"/>
  <c r="J123" i="2"/>
  <c r="AO123" i="2" s="1"/>
  <c r="J125" i="2"/>
  <c r="AO125" i="2" s="1"/>
  <c r="J126" i="2"/>
  <c r="AO126" i="2" s="1"/>
  <c r="J127" i="2"/>
  <c r="AO127" i="2" s="1"/>
  <c r="J128" i="2"/>
  <c r="AO128" i="2" s="1"/>
  <c r="J132" i="2"/>
  <c r="AO132" i="2" s="1"/>
  <c r="J133" i="2"/>
  <c r="AO133" i="2" s="1"/>
  <c r="J134" i="2"/>
  <c r="AO134" i="2" s="1"/>
  <c r="J135" i="2"/>
  <c r="AO135" i="2" s="1"/>
  <c r="J136" i="2"/>
  <c r="AO136" i="2" s="1"/>
  <c r="J137" i="2"/>
  <c r="AO137" i="2" s="1"/>
  <c r="J140" i="2"/>
  <c r="AO140" i="2" s="1"/>
  <c r="J141" i="2"/>
  <c r="AO141" i="2" s="1"/>
  <c r="J142" i="2"/>
  <c r="AO142" i="2" s="1"/>
  <c r="J143" i="2"/>
  <c r="AO143" i="2" s="1"/>
  <c r="J144" i="2"/>
  <c r="AO144" i="2" s="1"/>
  <c r="J147" i="2"/>
  <c r="AO147" i="2" s="1"/>
  <c r="J148" i="2"/>
  <c r="AO148" i="2" s="1"/>
  <c r="J149" i="2"/>
  <c r="AO149" i="2" s="1"/>
  <c r="J161" i="2"/>
  <c r="AO161" i="2" s="1"/>
  <c r="J162" i="2"/>
  <c r="AO162" i="2" s="1"/>
  <c r="J163" i="2"/>
  <c r="AO163" i="2" s="1"/>
  <c r="J164" i="2"/>
  <c r="AO164" i="2" s="1"/>
  <c r="J167" i="2"/>
  <c r="AO167" i="2" s="1"/>
  <c r="J168" i="2"/>
  <c r="AO168" i="2" s="1"/>
  <c r="J169" i="2"/>
  <c r="AO169" i="2" s="1"/>
  <c r="J176" i="2"/>
  <c r="AO176" i="2" s="1"/>
  <c r="J177" i="2"/>
  <c r="AO177" i="2" s="1"/>
  <c r="J178" i="2"/>
  <c r="AO178" i="2" s="1"/>
  <c r="J179" i="2"/>
  <c r="AO179" i="2" s="1"/>
  <c r="J182" i="2"/>
  <c r="AO182" i="2" s="1"/>
  <c r="J188" i="2"/>
  <c r="AO188" i="2" s="1"/>
  <c r="J189" i="2"/>
  <c r="AO189" i="2" s="1"/>
  <c r="J190" i="2"/>
  <c r="AO190" i="2" s="1"/>
  <c r="J192" i="2"/>
  <c r="AO192" i="2" s="1"/>
  <c r="J193" i="2"/>
  <c r="AO193" i="2" s="1"/>
  <c r="J194" i="2"/>
  <c r="AO194" i="2" s="1"/>
  <c r="H166" i="2"/>
  <c r="G166" i="2"/>
  <c r="H175" i="2"/>
  <c r="G175" i="2"/>
  <c r="H170" i="2"/>
  <c r="G170" i="2"/>
  <c r="H181" i="2"/>
  <c r="H180" i="2" s="1"/>
  <c r="G181" i="2"/>
  <c r="G180" i="2" s="1"/>
  <c r="G131" i="2"/>
  <c r="G130" i="2" s="1"/>
  <c r="I124" i="2"/>
  <c r="J124" i="2" s="1"/>
  <c r="F126" i="2"/>
  <c r="F122" i="2"/>
  <c r="F123" i="2"/>
  <c r="E119" i="2"/>
  <c r="D119" i="2"/>
  <c r="G89" i="2"/>
  <c r="H84" i="2"/>
  <c r="G84" i="2"/>
  <c r="G104" i="2"/>
  <c r="G103" i="2" s="1"/>
  <c r="H103" i="2"/>
  <c r="E115" i="2"/>
  <c r="E103" i="2" s="1"/>
  <c r="D115" i="2"/>
  <c r="E112" i="2"/>
  <c r="D112" i="2"/>
  <c r="E108" i="2"/>
  <c r="D108" i="2"/>
  <c r="H56" i="2"/>
  <c r="H49" i="2"/>
  <c r="G49" i="2"/>
  <c r="G48" i="2" s="1"/>
  <c r="H62" i="2"/>
  <c r="G62" i="2"/>
  <c r="E99" i="2"/>
  <c r="D99" i="2"/>
  <c r="E94" i="2"/>
  <c r="D94" i="2"/>
  <c r="E89" i="2"/>
  <c r="D89" i="2"/>
  <c r="E84" i="2"/>
  <c r="D84" i="2"/>
  <c r="E62" i="2"/>
  <c r="D62" i="2"/>
  <c r="E49" i="2"/>
  <c r="D49" i="2"/>
  <c r="D48" i="2" s="1"/>
  <c r="E56" i="2"/>
  <c r="D56" i="2"/>
  <c r="E19" i="2"/>
  <c r="D19" i="2"/>
  <c r="E104" i="2"/>
  <c r="D104" i="2"/>
  <c r="D103" i="2" s="1"/>
  <c r="F106" i="2"/>
  <c r="F69" i="2"/>
  <c r="S103" i="2" l="1"/>
  <c r="AP44" i="2"/>
  <c r="AP84" i="2"/>
  <c r="AP99" i="2"/>
  <c r="AP115" i="2"/>
  <c r="AO120" i="2"/>
  <c r="AP166" i="2"/>
  <c r="AP62" i="2"/>
  <c r="AP112" i="2"/>
  <c r="AP160" i="2"/>
  <c r="R180" i="2"/>
  <c r="AP180" i="2" s="1"/>
  <c r="AP181" i="2"/>
  <c r="AP27" i="2"/>
  <c r="AP39" i="2"/>
  <c r="AP94" i="2"/>
  <c r="AP56" i="2"/>
  <c r="AP108" i="2"/>
  <c r="AP175" i="2"/>
  <c r="AF103" i="2"/>
  <c r="AP23" i="2"/>
  <c r="AP33" i="2"/>
  <c r="AP49" i="2"/>
  <c r="AP89" i="2"/>
  <c r="AP104" i="2"/>
  <c r="AP120" i="2"/>
  <c r="AP124" i="2"/>
  <c r="AP170" i="2"/>
  <c r="AO124" i="2"/>
  <c r="K186" i="2"/>
  <c r="AO19" i="2"/>
  <c r="AO27" i="2"/>
  <c r="W103" i="2"/>
  <c r="AD103" i="2"/>
  <c r="AH103" i="2"/>
  <c r="T130" i="2"/>
  <c r="K180" i="2"/>
  <c r="M185" i="2"/>
  <c r="AC185" i="2"/>
  <c r="AK185" i="2"/>
  <c r="S130" i="2"/>
  <c r="M119" i="2"/>
  <c r="U119" i="2"/>
  <c r="AC119" i="2"/>
  <c r="AK119" i="2"/>
  <c r="S185" i="2"/>
  <c r="AL185" i="2"/>
  <c r="N185" i="2"/>
  <c r="AF130" i="2"/>
  <c r="AD185" i="2"/>
  <c r="L185" i="2"/>
  <c r="T185" i="2"/>
  <c r="AB185" i="2"/>
  <c r="AJ185" i="2"/>
  <c r="V185" i="2"/>
  <c r="AE130" i="2"/>
  <c r="N119" i="2"/>
  <c r="V119" i="2"/>
  <c r="AD119" i="2"/>
  <c r="AL119" i="2"/>
  <c r="O185" i="2"/>
  <c r="W185" i="2"/>
  <c r="AE185" i="2"/>
  <c r="AM185" i="2"/>
  <c r="O165" i="2"/>
  <c r="AM130" i="2"/>
  <c r="P185" i="2"/>
  <c r="X185" i="2"/>
  <c r="AF185" i="2"/>
  <c r="AN185" i="2"/>
  <c r="P165" i="2"/>
  <c r="AA185" i="2"/>
  <c r="AI185" i="2"/>
  <c r="M103" i="2"/>
  <c r="U103" i="2"/>
  <c r="AC103" i="2"/>
  <c r="AK103" i="2"/>
  <c r="U185" i="2"/>
  <c r="N103" i="2"/>
  <c r="V103" i="2"/>
  <c r="AL103" i="2"/>
  <c r="K48" i="2"/>
  <c r="S48" i="2"/>
  <c r="AA48" i="2"/>
  <c r="AI48" i="2"/>
  <c r="K119" i="2"/>
  <c r="S119" i="2"/>
  <c r="AA119" i="2"/>
  <c r="AI119" i="2"/>
  <c r="Q185" i="2"/>
  <c r="Y185" i="2"/>
  <c r="AG185" i="2"/>
  <c r="R48" i="2"/>
  <c r="Z48" i="2"/>
  <c r="AH48" i="2"/>
  <c r="L119" i="2"/>
  <c r="T119" i="2"/>
  <c r="AB119" i="2"/>
  <c r="AJ119" i="2"/>
  <c r="R185" i="2"/>
  <c r="Z185" i="2"/>
  <c r="AH185" i="2"/>
  <c r="K145" i="2"/>
  <c r="AG130" i="2"/>
  <c r="L145" i="2"/>
  <c r="O119" i="2"/>
  <c r="K165" i="2"/>
  <c r="M165" i="2"/>
  <c r="AC130" i="2"/>
  <c r="P119" i="2"/>
  <c r="L165" i="2"/>
  <c r="N165" i="2"/>
  <c r="AD130" i="2"/>
  <c r="AJ103" i="2"/>
  <c r="AI103" i="2"/>
  <c r="AB103" i="2"/>
  <c r="AA103" i="2"/>
  <c r="Q48" i="2"/>
  <c r="Y48" i="2"/>
  <c r="L48" i="2"/>
  <c r="AB48" i="2"/>
  <c r="T48" i="2"/>
  <c r="AJ48" i="2"/>
  <c r="P48" i="2"/>
  <c r="X48" i="2"/>
  <c r="AF48" i="2"/>
  <c r="AN48" i="2"/>
  <c r="AG48" i="2"/>
  <c r="AK48" i="2"/>
  <c r="V48" i="2"/>
  <c r="AC48" i="2"/>
  <c r="AL48" i="2"/>
  <c r="M48" i="2"/>
  <c r="N48" i="2"/>
  <c r="U48" i="2"/>
  <c r="AD48" i="2"/>
  <c r="O48" i="2"/>
  <c r="W48" i="2"/>
  <c r="AE48" i="2"/>
  <c r="AM48" i="2"/>
  <c r="T103" i="2"/>
  <c r="L103" i="2"/>
  <c r="K103" i="2"/>
  <c r="O103" i="2"/>
  <c r="AE103" i="2"/>
  <c r="AM103" i="2"/>
  <c r="X103" i="2"/>
  <c r="P103" i="2"/>
  <c r="AG103" i="2"/>
  <c r="R103" i="2"/>
  <c r="Y103" i="2"/>
  <c r="Z103" i="2"/>
  <c r="Q103" i="2"/>
  <c r="AN103" i="2"/>
  <c r="W119" i="2"/>
  <c r="AE119" i="2"/>
  <c r="AM119" i="2"/>
  <c r="X119" i="2"/>
  <c r="AF119" i="2"/>
  <c r="AN119" i="2"/>
  <c r="Q119" i="2"/>
  <c r="Y119" i="2"/>
  <c r="AG119" i="2"/>
  <c r="R119" i="2"/>
  <c r="Z119" i="2"/>
  <c r="AH119" i="2"/>
  <c r="F16" i="2"/>
  <c r="F18" i="2"/>
  <c r="F19" i="2"/>
  <c r="F20" i="2"/>
  <c r="F21" i="2"/>
  <c r="F23" i="2"/>
  <c r="F24" i="2"/>
  <c r="F25" i="2"/>
  <c r="F26" i="2"/>
  <c r="F27" i="2"/>
  <c r="F28" i="2"/>
  <c r="F29" i="2"/>
  <c r="F30" i="2"/>
  <c r="F31" i="2"/>
  <c r="F32" i="2"/>
  <c r="F33" i="2"/>
  <c r="F34" i="2"/>
  <c r="F35" i="2"/>
  <c r="F36" i="2"/>
  <c r="F37" i="2"/>
  <c r="F38" i="2"/>
  <c r="F39" i="2"/>
  <c r="F40" i="2"/>
  <c r="F41" i="2"/>
  <c r="F42" i="2"/>
  <c r="F43" i="2"/>
  <c r="F44" i="2"/>
  <c r="F45" i="2"/>
  <c r="F48" i="2"/>
  <c r="F49" i="2"/>
  <c r="F50" i="2"/>
  <c r="F51" i="2"/>
  <c r="F52" i="2"/>
  <c r="F53" i="2"/>
  <c r="F54" i="2"/>
  <c r="F55" i="2"/>
  <c r="F56" i="2"/>
  <c r="F57" i="2"/>
  <c r="F58" i="2"/>
  <c r="F59" i="2"/>
  <c r="F60" i="2"/>
  <c r="F61" i="2"/>
  <c r="F62" i="2"/>
  <c r="F63" i="2"/>
  <c r="F64" i="2"/>
  <c r="F65" i="2"/>
  <c r="F66" i="2"/>
  <c r="F67" i="2"/>
  <c r="F68" i="2"/>
  <c r="F72" i="2"/>
  <c r="F76" i="2"/>
  <c r="F80" i="2"/>
  <c r="F84" i="2"/>
  <c r="F85" i="2"/>
  <c r="F86" i="2"/>
  <c r="F87" i="2"/>
  <c r="F88" i="2"/>
  <c r="F89" i="2"/>
  <c r="F90" i="2"/>
  <c r="F91" i="2"/>
  <c r="F92" i="2"/>
  <c r="F93" i="2"/>
  <c r="F94" i="2"/>
  <c r="F95" i="2"/>
  <c r="F96" i="2"/>
  <c r="F97" i="2"/>
  <c r="F98" i="2"/>
  <c r="F99" i="2"/>
  <c r="F100" i="2"/>
  <c r="F102" i="2"/>
  <c r="F103" i="2"/>
  <c r="F104" i="2"/>
  <c r="F105" i="2"/>
  <c r="F107" i="2"/>
  <c r="F108" i="2"/>
  <c r="F109" i="2"/>
  <c r="F110" i="2"/>
  <c r="F111" i="2"/>
  <c r="F112" i="2"/>
  <c r="F113" i="2"/>
  <c r="F114" i="2"/>
  <c r="F115" i="2"/>
  <c r="F116" i="2"/>
  <c r="F117" i="2"/>
  <c r="F118" i="2"/>
  <c r="F119" i="2"/>
  <c r="F120" i="2"/>
  <c r="F121" i="2"/>
  <c r="F124" i="2"/>
  <c r="F125" i="2"/>
  <c r="F127" i="2"/>
  <c r="F128" i="2"/>
  <c r="F130" i="2"/>
  <c r="F131" i="2"/>
  <c r="F132" i="2"/>
  <c r="F133" i="2"/>
  <c r="F134" i="2"/>
  <c r="F135" i="2"/>
  <c r="F136" i="2"/>
  <c r="F137" i="2"/>
  <c r="F138" i="2"/>
  <c r="F139" i="2"/>
  <c r="F140" i="2"/>
  <c r="F141" i="2"/>
  <c r="F142" i="2"/>
  <c r="F143" i="2"/>
  <c r="F144" i="2"/>
  <c r="F145" i="2"/>
  <c r="F146" i="2"/>
  <c r="F147" i="2"/>
  <c r="F148" i="2"/>
  <c r="F149" i="2"/>
  <c r="F151" i="2"/>
  <c r="F160" i="2"/>
  <c r="F161" i="2"/>
  <c r="F162" i="2"/>
  <c r="F163" i="2"/>
  <c r="F164" i="2"/>
  <c r="F165" i="2"/>
  <c r="F166" i="2"/>
  <c r="F167" i="2"/>
  <c r="F168" i="2"/>
  <c r="F169" i="2"/>
  <c r="F171" i="2"/>
  <c r="F172" i="2"/>
  <c r="F173" i="2"/>
  <c r="F175" i="2"/>
  <c r="F176" i="2"/>
  <c r="F177" i="2"/>
  <c r="F178" i="2"/>
  <c r="F179" i="2"/>
  <c r="F180" i="2"/>
  <c r="F181" i="2"/>
  <c r="F182" i="2"/>
  <c r="F187" i="2"/>
  <c r="F188" i="2"/>
  <c r="F189" i="2"/>
  <c r="F190" i="2"/>
  <c r="F191" i="2"/>
  <c r="F192" i="2"/>
  <c r="F193" i="2"/>
  <c r="F194" i="2"/>
  <c r="F15" i="2"/>
  <c r="J191" i="2"/>
  <c r="AO191" i="2" s="1"/>
  <c r="I175" i="2"/>
  <c r="J175" i="2" s="1"/>
  <c r="AO175" i="2" s="1"/>
  <c r="I170" i="2"/>
  <c r="I166" i="2"/>
  <c r="I165" i="2" s="1"/>
  <c r="I160" i="2"/>
  <c r="J146" i="2"/>
  <c r="AO146" i="2" s="1"/>
  <c r="J131" i="2"/>
  <c r="AO131" i="2" s="1"/>
  <c r="I112" i="2"/>
  <c r="I108" i="2"/>
  <c r="J104" i="2"/>
  <c r="AO104" i="2" s="1"/>
  <c r="I99" i="2"/>
  <c r="J99" i="2" s="1"/>
  <c r="AO99" i="2" s="1"/>
  <c r="J94" i="2"/>
  <c r="AO94" i="2" s="1"/>
  <c r="I89" i="2"/>
  <c r="J89" i="2" s="1"/>
  <c r="AO89" i="2" s="1"/>
  <c r="I84" i="2"/>
  <c r="J84" i="2" s="1"/>
  <c r="AO84" i="2" s="1"/>
  <c r="I67" i="2"/>
  <c r="J67" i="2" s="1"/>
  <c r="AO67" i="2" s="1"/>
  <c r="I62" i="2"/>
  <c r="J62" i="2" s="1"/>
  <c r="AO62" i="2" s="1"/>
  <c r="I56" i="2"/>
  <c r="J56" i="2" s="1"/>
  <c r="AO56" i="2" s="1"/>
  <c r="I49" i="2"/>
  <c r="J49" i="2" s="1"/>
  <c r="AO49" i="2" s="1"/>
  <c r="J44" i="2"/>
  <c r="AO44" i="2" s="1"/>
  <c r="I39" i="2"/>
  <c r="J39" i="2" s="1"/>
  <c r="AO39" i="2" s="1"/>
  <c r="I33" i="2"/>
  <c r="I23" i="2"/>
  <c r="J23" i="2" s="1"/>
  <c r="AO23" i="2" s="1"/>
  <c r="AP103" i="2" l="1"/>
  <c r="AP119" i="2"/>
  <c r="AP48" i="2"/>
  <c r="AP185" i="2"/>
  <c r="I103" i="2"/>
  <c r="J112" i="2"/>
  <c r="AO112" i="2" s="1"/>
  <c r="AD17" i="2"/>
  <c r="T17" i="2"/>
  <c r="AH17" i="2"/>
  <c r="AA17" i="2"/>
  <c r="L17" i="2"/>
  <c r="Y17" i="2"/>
  <c r="X17" i="2"/>
  <c r="AJ130" i="2"/>
  <c r="Q17" i="2"/>
  <c r="AI17" i="2"/>
  <c r="L130" i="2"/>
  <c r="U17" i="2"/>
  <c r="AG17" i="2"/>
  <c r="AM17" i="2"/>
  <c r="AM16" i="2" s="1"/>
  <c r="AM15" i="2" s="1"/>
  <c r="V17" i="2"/>
  <c r="M17" i="2"/>
  <c r="AJ17" i="2"/>
  <c r="R17" i="2"/>
  <c r="O17" i="2"/>
  <c r="K130" i="2"/>
  <c r="Z17" i="2"/>
  <c r="N17" i="2"/>
  <c r="AE17" i="2"/>
  <c r="AF17" i="2"/>
  <c r="W17" i="2"/>
  <c r="P17" i="2"/>
  <c r="AK17" i="2"/>
  <c r="AN17" i="2"/>
  <c r="AL17" i="2"/>
  <c r="AB17" i="2"/>
  <c r="S17" i="2"/>
  <c r="AC17" i="2"/>
  <c r="AC16" i="2" s="1"/>
  <c r="AC15" i="2" s="1"/>
  <c r="AL130" i="2"/>
  <c r="AK130" i="2"/>
  <c r="J165" i="2"/>
  <c r="AO165" i="2" s="1"/>
  <c r="AN130" i="2"/>
  <c r="K185" i="2"/>
  <c r="K17" i="2"/>
  <c r="AI130" i="2"/>
  <c r="J115" i="2"/>
  <c r="AO115" i="2" s="1"/>
  <c r="J170" i="2"/>
  <c r="AO170" i="2" s="1"/>
  <c r="J166" i="2"/>
  <c r="AO166" i="2" s="1"/>
  <c r="J160" i="2"/>
  <c r="AO160" i="2" s="1"/>
  <c r="J33" i="2"/>
  <c r="AO33" i="2" s="1"/>
  <c r="J108" i="2"/>
  <c r="AO108" i="2" s="1"/>
  <c r="I180" i="2"/>
  <c r="J180" i="2" s="1"/>
  <c r="AO180" i="2" s="1"/>
  <c r="J181" i="2"/>
  <c r="AO181" i="2" s="1"/>
  <c r="I119" i="2"/>
  <c r="J119" i="2" s="1"/>
  <c r="AO119" i="2" s="1"/>
  <c r="I48" i="2"/>
  <c r="J48" i="2" s="1"/>
  <c r="AO48" i="2" s="1"/>
  <c r="AP17" i="2" l="1"/>
  <c r="AK16" i="2"/>
  <c r="AK15" i="2" s="1"/>
  <c r="I17" i="2"/>
  <c r="AI16" i="2"/>
  <c r="AI15" i="2" s="1"/>
  <c r="AJ16" i="2"/>
  <c r="AJ15" i="2" s="1"/>
  <c r="AL16" i="2"/>
  <c r="AL15" i="2" s="1"/>
  <c r="AN16" i="2"/>
  <c r="AN15" i="2" s="1"/>
  <c r="L16" i="2"/>
  <c r="L15" i="2" s="1"/>
  <c r="K16" i="2"/>
  <c r="I185" i="2"/>
  <c r="J185" i="2" s="1"/>
  <c r="AO185" i="2" s="1"/>
  <c r="J186" i="2"/>
  <c r="AO186" i="2" s="1"/>
  <c r="J103" i="2"/>
  <c r="AO103" i="2" s="1"/>
  <c r="J17" i="2" l="1"/>
  <c r="AO17" i="2" s="1"/>
  <c r="K15" i="2"/>
  <c r="AL196" i="2"/>
  <c r="AI196" i="2"/>
  <c r="AI197" i="2" l="1"/>
  <c r="F174" i="2"/>
  <c r="E170" i="2"/>
  <c r="F170" i="2" s="1"/>
  <c r="M151" i="2" l="1"/>
  <c r="O151" i="2" l="1"/>
  <c r="O145" i="2" s="1"/>
  <c r="N151" i="2"/>
  <c r="N145" i="2" s="1"/>
  <c r="P151" i="2"/>
  <c r="P145" i="2" s="1"/>
  <c r="M145" i="2"/>
  <c r="P130" i="2" l="1"/>
  <c r="P16" i="2" s="1"/>
  <c r="P15" i="2" s="1"/>
  <c r="N130" i="2"/>
  <c r="N16" i="2" s="1"/>
  <c r="N15" i="2" s="1"/>
  <c r="O130" i="2"/>
  <c r="O16" i="2" s="1"/>
  <c r="O15" i="2" s="1"/>
  <c r="M130" i="2"/>
  <c r="N196" i="2" l="1"/>
  <c r="M16" i="2"/>
  <c r="M15" i="2" l="1"/>
  <c r="T16" i="2"/>
  <c r="T15" i="2" s="1"/>
  <c r="S16" i="2"/>
  <c r="S15" i="2" s="1"/>
  <c r="R151" i="2"/>
  <c r="R145" i="2" s="1"/>
  <c r="K196" i="2" l="1"/>
  <c r="K197" i="2" s="1"/>
  <c r="R130" i="2"/>
  <c r="R16" i="2" s="1"/>
  <c r="R15" i="2" s="1"/>
  <c r="Q151" i="2"/>
  <c r="Q145" i="2" l="1"/>
  <c r="Q130" i="2" s="1"/>
  <c r="Q16" i="2" l="1"/>
  <c r="Q15" i="2" s="1"/>
  <c r="Z151" i="2"/>
  <c r="Z145" i="2" s="1"/>
  <c r="X151" i="2"/>
  <c r="X145" i="2" s="1"/>
  <c r="AG16" i="2"/>
  <c r="AG15" i="2" s="1"/>
  <c r="Y151" i="2"/>
  <c r="Y145" i="2" s="1"/>
  <c r="AD16" i="2"/>
  <c r="AD15" i="2" s="1"/>
  <c r="V151" i="2"/>
  <c r="V145" i="2" s="1"/>
  <c r="AE16" i="2"/>
  <c r="AE15" i="2" s="1"/>
  <c r="W151" i="2"/>
  <c r="W145" i="2" s="1"/>
  <c r="AB151" i="2"/>
  <c r="AF16" i="2"/>
  <c r="AF15" i="2" s="1"/>
  <c r="U151" i="2"/>
  <c r="AA151" i="2"/>
  <c r="AA145" i="2" s="1"/>
  <c r="U145" i="2" l="1"/>
  <c r="AP151" i="2"/>
  <c r="AB145" i="2"/>
  <c r="AO151" i="2"/>
  <c r="AO145" i="2"/>
  <c r="Q196" i="2"/>
  <c r="Y130" i="2"/>
  <c r="Y16" i="2" s="1"/>
  <c r="Y15" i="2" s="1"/>
  <c r="AB130" i="2"/>
  <c r="AB16" i="2" s="1"/>
  <c r="AB15" i="2" s="1"/>
  <c r="X130" i="2"/>
  <c r="X16" i="2" s="1"/>
  <c r="X15" i="2" s="1"/>
  <c r="W130" i="2"/>
  <c r="W16" i="2" s="1"/>
  <c r="W15" i="2" s="1"/>
  <c r="Z130" i="2"/>
  <c r="Z16" i="2" s="1"/>
  <c r="Z15" i="2" s="1"/>
  <c r="AA130" i="2"/>
  <c r="AA16" i="2" s="1"/>
  <c r="AA15" i="2" s="1"/>
  <c r="V130" i="2"/>
  <c r="V16" i="2" s="1"/>
  <c r="V15" i="2" s="1"/>
  <c r="U130" i="2"/>
  <c r="AH130" i="2"/>
  <c r="AC196" i="2"/>
  <c r="AP145" i="2" l="1"/>
  <c r="AP130" i="2"/>
  <c r="Z196" i="2"/>
  <c r="W196" i="2"/>
  <c r="AH16" i="2"/>
  <c r="W197" i="2" l="1"/>
  <c r="AH15" i="2"/>
  <c r="U16" i="2"/>
  <c r="AP16" i="2" s="1"/>
  <c r="AF196" i="2" l="1"/>
  <c r="AC197" i="2" s="1"/>
  <c r="AC198" i="2" s="1"/>
  <c r="U15" i="2"/>
  <c r="AP15" i="2" s="1"/>
  <c r="T196" i="2" l="1"/>
  <c r="Q197" i="2" s="1"/>
  <c r="I130" i="2"/>
  <c r="J130" i="2" s="1"/>
  <c r="AO130" i="2" s="1"/>
  <c r="Q198" i="2" l="1"/>
  <c r="Q199" i="2" s="1"/>
  <c r="I16" i="2"/>
  <c r="I15" i="2" s="1"/>
  <c r="J16" i="2" l="1"/>
  <c r="AO16" i="2" s="1"/>
  <c r="J15" i="2" l="1"/>
  <c r="AO15" i="2" s="1"/>
  <c r="J69" i="21"/>
  <c r="J176" i="21" s="1"/>
  <c r="AK57" i="21"/>
  <c r="M69" i="21" l="1"/>
  <c r="M176" i="21" s="1"/>
  <c r="AL57" i="21"/>
  <c r="M70" i="21" l="1"/>
  <c r="M177" i="21"/>
  <c r="AK70" i="21"/>
  <c r="AL70" i="21" l="1"/>
  <c r="M178" i="21"/>
  <c r="J179" i="21" l="1"/>
  <c r="K179" i="21" s="1"/>
  <c r="X17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tc={1BCD7278-17A3-4C75-81A3-43C447F47DE8}</author>
    <author>tc={0DAFDA8E-89F9-4A04-8C55-2104774B4191}</author>
    <author>tc={6AD405A4-60E8-40F9-8652-A501BF5E8A28}</author>
    <author>tc={C39095CE-2EA0-4085-8A6A-6ECB14878D12}</author>
    <author>tc={B824410B-93E2-4491-94DA-5DD91E459C2A}</author>
  </authors>
  <commentList>
    <comment ref="O25" authorId="0" shapeId="0" xr:uid="{1BCD7278-17A3-4C75-81A3-43C447F47DE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lanzo un proceso por esa cantidad</t>
      </text>
    </comment>
    <comment ref="O34" authorId="1" shapeId="0" xr:uid="{0DAFDA8E-89F9-4A04-8C55-2104774B4191}">
      <text>
        <t>[Comentario encadenado]
Su versión de Excel le permite leer este comentario encadenado; sin embargo, las ediciones que se apliquen se quitarán si el archivo se abre en una versión más reciente de Excel. Más información: https://go.microsoft.com/fwlink/?linkid=870924
Comentario:
    3 camionetas Nissan NP300 adjudicadas</t>
      </text>
    </comment>
    <comment ref="O38" authorId="2" shapeId="0" xr:uid="{6AD405A4-60E8-40F9-8652-A501BF5E8A28}">
      <text>
        <t>[Comentario encadenado]
Su versión de Excel le permite leer este comentario encadenado; sin embargo, las ediciones que se apliquen se quitarán si el archivo se abre en una versión más reciente de Excel. Más información: https://go.microsoft.com/fwlink/?linkid=870924
Comentario:
    Fondos trasladados a A.1.4.10. Viáticos fuera del país.</t>
      </text>
    </comment>
    <comment ref="O61" authorId="3" shapeId="0" xr:uid="{C39095CE-2EA0-4085-8A6A-6ECB14878D12}">
      <text>
        <t>[Comentario encadenado]
Su versión de Excel le permite leer este comentario encadenado; sin embargo, las ediciones que se apliquen se quitarán si el archivo se abre en una versión más reciente de Excel. Más información: https://go.microsoft.com/fwlink/?linkid=870924
Comentario:
    Fondos pasado a A.1.4.31. Servicios técnicos y profesionales</t>
      </text>
    </comment>
    <comment ref="O177" authorId="4" shapeId="0" xr:uid="{B824410B-93E2-4491-94DA-5DD91E459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movió a B.1.7.6.</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<sst xmlns="http://schemas.openxmlformats.org/spreadsheetml/2006/main" count="4826" uniqueCount="1520">
  <si>
    <t>Código EDT</t>
  </si>
  <si>
    <t>EDT</t>
  </si>
  <si>
    <t>Fecha de Inicio</t>
  </si>
  <si>
    <t>Fecha de Termino</t>
  </si>
  <si>
    <t>1.1.1.</t>
  </si>
  <si>
    <t>Producto: Plan Operativo Anual (POA) del proyecto IPF-MEPYD formulado, validado e implementado, que define las acciones, metas e indicadores anuales en línea con los objetivos del programa.</t>
  </si>
  <si>
    <t>Actividad Presupuestaria</t>
  </si>
  <si>
    <t>Bien/Servicio</t>
  </si>
  <si>
    <t>Presupuesto Estimado</t>
  </si>
  <si>
    <t>Fecha Firma Contrato</t>
  </si>
  <si>
    <t>Fecha Término Contrato</t>
  </si>
  <si>
    <t>Enero
(1)</t>
  </si>
  <si>
    <t>Febrero
(2)</t>
  </si>
  <si>
    <t>Marzo
(3)</t>
  </si>
  <si>
    <t>Abril
(4)</t>
  </si>
  <si>
    <t>Mayo
(5)</t>
  </si>
  <si>
    <t>Junio
(6)</t>
  </si>
  <si>
    <t>Julio
(7)</t>
  </si>
  <si>
    <t>Agosto
(8)</t>
  </si>
  <si>
    <t>Septiembre
(9)</t>
  </si>
  <si>
    <t>Octubre
(10)</t>
  </si>
  <si>
    <t>Noviembre
(11)</t>
  </si>
  <si>
    <t>Diciembre
(12)</t>
  </si>
  <si>
    <t>Confirmar</t>
  </si>
  <si>
    <t>A.1.4.31.</t>
  </si>
  <si>
    <t>Consultoría para la elaboración e implementación inicial del Plan de Gestión de Riesgos (PGR) del Programa</t>
  </si>
  <si>
    <t>SUBTOTAL</t>
  </si>
  <si>
    <t>Código</t>
  </si>
  <si>
    <t>1.1.7.</t>
  </si>
  <si>
    <t>Producto: Auditoría Financiera Externa</t>
  </si>
  <si>
    <t>A.1.6.3.</t>
  </si>
  <si>
    <t>Auditoría Externa Financiera para Años 2023, 2024 y 2025 del IPF y P4R del Programa</t>
  </si>
  <si>
    <t>Auditoría Externa Financiera para Años 2026 y 2027 del IPF y P4R del Programa</t>
  </si>
  <si>
    <t>1.1.8</t>
  </si>
  <si>
    <t>Producto: Sistema de Monitoreo del Proyecto diseñado e implementado por la UGCP</t>
  </si>
  <si>
    <t>1.1.8.7</t>
  </si>
  <si>
    <r>
      <rPr>
        <b/>
        <sz val="11"/>
        <color theme="1"/>
        <rFont val="Aptos Narrow"/>
        <family val="2"/>
        <scheme val="minor"/>
      </rPr>
      <t>Actividad</t>
    </r>
    <r>
      <rPr>
        <sz val="11"/>
        <color theme="1"/>
        <rFont val="Aptos Narrow"/>
        <family val="2"/>
        <scheme val="minor"/>
      </rPr>
      <t>: Realizar ejercicio de verificación independiente de una agencia externa para la Evaluación Anual de Logros.</t>
    </r>
  </si>
  <si>
    <t>1.1.8.8</t>
  </si>
  <si>
    <r>
      <rPr>
        <b/>
        <sz val="11"/>
        <color theme="1"/>
        <rFont val="Aptos Narrow"/>
        <family val="2"/>
        <scheme val="minor"/>
      </rPr>
      <t>Actividad:</t>
    </r>
    <r>
      <rPr>
        <sz val="11"/>
        <color theme="1"/>
        <rFont val="Aptos Narrow"/>
        <family val="2"/>
        <scheme val="minor"/>
      </rPr>
      <t xml:space="preserve"> Implementar el ejercicio de Evaluación de Medio Término del Programa.</t>
    </r>
  </si>
  <si>
    <t>1.1.8.7.</t>
  </si>
  <si>
    <t>A.1.5.3.</t>
  </si>
  <si>
    <t xml:space="preserve">Contratación Agencia Verificadora Independiente para Evaluación Años 2026 y 2027 </t>
  </si>
  <si>
    <t xml:space="preserve">Contratación Agencia Verificadora Independiente para Evaluación Años 2023, 2024 y 2025 </t>
  </si>
  <si>
    <t>1.1.8.8.</t>
  </si>
  <si>
    <t>Consultoría para apoyo en la evaluación de medio término del Proyecto IPF</t>
  </si>
  <si>
    <t>1.1.9.</t>
  </si>
  <si>
    <t>Producto: Marco metodológico para el monitoreo del desempeño institucional de las prestadoras de servicios de agua potable y saneamiento del programa, formulado e implementado.</t>
  </si>
  <si>
    <t>Contratación de Servicio para Diseño y Desarrollo de Software y Sistemas de TICs</t>
  </si>
  <si>
    <t>Diseño de un Observatorio Nacional del Agua y Saneamiento</t>
  </si>
  <si>
    <t>Contratación de firma consultora para diseño y facilitación de Taller Nacional sobre Gestión Basada en Resultados en empresas públicas de APS</t>
  </si>
  <si>
    <t>1.1.10.</t>
  </si>
  <si>
    <t>Producto: Marco Ambiental y Social (MAS)</t>
  </si>
  <si>
    <t>1.1.10.1.</t>
  </si>
  <si>
    <t>B.1.2.4.</t>
  </si>
  <si>
    <t>Consultoría para participación ciudadana en los servicios de APS</t>
  </si>
  <si>
    <t>1.1.11</t>
  </si>
  <si>
    <t>Producto: Operatividad de la Unidad de Gestión y Coordinación del Proyecto UGCP</t>
  </si>
  <si>
    <t>1.1.11.</t>
  </si>
  <si>
    <t>B.1.2.3.</t>
  </si>
  <si>
    <t>Consultor en comunicaciones</t>
  </si>
  <si>
    <t>Consultor en Infraestructura APS</t>
  </si>
  <si>
    <t>A.1.2.16</t>
  </si>
  <si>
    <t>Compra de mobiliario para oficinas de UGCP</t>
  </si>
  <si>
    <t>N/A</t>
  </si>
  <si>
    <t>A.1.2.20</t>
  </si>
  <si>
    <t>Prendas de vestir</t>
  </si>
  <si>
    <t>A.1.2.3.</t>
  </si>
  <si>
    <t>Equipos y aparatos audiovisuales</t>
  </si>
  <si>
    <t>A.1.2.6./A.1.4.23.</t>
  </si>
  <si>
    <t>Otros equipos</t>
  </si>
  <si>
    <t>A.1.4.10.</t>
  </si>
  <si>
    <t>Viáticos fuera del país</t>
  </si>
  <si>
    <t>A.1.4.11.</t>
  </si>
  <si>
    <t>Publicidad y propaganda</t>
  </si>
  <si>
    <t>A.1.4.13.</t>
  </si>
  <si>
    <t>Servicios de capacitación</t>
  </si>
  <si>
    <t>A.1.4.15./A.1.8.4.</t>
  </si>
  <si>
    <t>Útiles de escritorio, oficina informática y de enseñanza</t>
  </si>
  <si>
    <t>A.1.4.18./A.1.8.3.</t>
  </si>
  <si>
    <t>Serivicios de catering</t>
  </si>
  <si>
    <t>A.1.4.20.</t>
  </si>
  <si>
    <t xml:space="preserve">Peaje </t>
  </si>
  <si>
    <t>A.1.4.22.</t>
  </si>
  <si>
    <t>Otras contrataciones de servicios</t>
  </si>
  <si>
    <t>A.1.4.24.</t>
  </si>
  <si>
    <t>Mantenimiento y reparación de equipos transporte, tracción y elevación</t>
  </si>
  <si>
    <t>A.1.4.25.</t>
  </si>
  <si>
    <t>Llantas y neumáticos</t>
  </si>
  <si>
    <t>A.1.4.27.</t>
  </si>
  <si>
    <t>Gasoil</t>
  </si>
  <si>
    <t>A.1.4.28.</t>
  </si>
  <si>
    <t>Viáticos dentro del país</t>
  </si>
  <si>
    <t xml:space="preserve">Servicios técnicos y profesionales </t>
  </si>
  <si>
    <t>A.1.4.33.</t>
  </si>
  <si>
    <t>Gasolina</t>
  </si>
  <si>
    <t>A.1.4.36.</t>
  </si>
  <si>
    <t>Alquiler de equipo de oficina y muebles</t>
  </si>
  <si>
    <t>A.1.4.37.</t>
  </si>
  <si>
    <t>Impresión, encuadernación y rotulación</t>
  </si>
  <si>
    <t>A.1.4.38.</t>
  </si>
  <si>
    <t>Productos útiles y variados (Accesorios para oficina UGCP)</t>
  </si>
  <si>
    <t>A.1.4.39.</t>
  </si>
  <si>
    <t>Productos de artes gráficas para oficina UGCP</t>
  </si>
  <si>
    <t>A.1.4.6.</t>
  </si>
  <si>
    <t>Publicaciones de avisos oficiales</t>
  </si>
  <si>
    <t>A.1.4.8.</t>
  </si>
  <si>
    <t>Pasajes y gastos de transporte</t>
  </si>
  <si>
    <t>A.1.4.9.</t>
  </si>
  <si>
    <t xml:space="preserve">Hospedaje </t>
  </si>
  <si>
    <t>A.1.8.4.</t>
  </si>
  <si>
    <t>A.1.8.5.</t>
  </si>
  <si>
    <t>Alquileres y rentas de edificios y locales</t>
  </si>
  <si>
    <t>A.1.8.6.</t>
  </si>
  <si>
    <t>Eventos de la UGCP en el marco del Programa de Mondernización con misiones del BM</t>
  </si>
  <si>
    <t>1.2.1.</t>
  </si>
  <si>
    <t>Producto: Plan de capacitaciones para las prestadoras de servicios APS desarrollado e implementado</t>
  </si>
  <si>
    <t>1.2.1.7</t>
  </si>
  <si>
    <r>
      <rPr>
        <b/>
        <sz val="11"/>
        <color theme="1"/>
        <rFont val="Aptos Narrow"/>
        <family val="2"/>
        <scheme val="minor"/>
      </rPr>
      <t xml:space="preserve">Actividad: </t>
    </r>
    <r>
      <rPr>
        <sz val="11"/>
        <color theme="1"/>
        <rFont val="Aptos Narrow"/>
        <family val="2"/>
        <scheme val="minor"/>
      </rPr>
      <t>Contratar o coordinar a los facilitadores o entidades formadoras.</t>
    </r>
  </si>
  <si>
    <t>B.1.3.4.</t>
  </si>
  <si>
    <t>Curso de Gestión Organizacional para Prestadoras APS</t>
  </si>
  <si>
    <t>Capacitación en Liderazgo, comunicación efectiva y gestión de equipos</t>
  </si>
  <si>
    <t>B.1.1.5.</t>
  </si>
  <si>
    <t>Contratación de una Capacitación para la Certificación ISO 50001 en Gestión Energética</t>
  </si>
  <si>
    <t>Diplomado en Eficiencia Energética para Equipos Electromecánicos de Prestadoras APS</t>
  </si>
  <si>
    <t>Diplomado en Finanzas Públicas</t>
  </si>
  <si>
    <t>B.1.3.13.</t>
  </si>
  <si>
    <t>Foro Nacional: Transformación digital del sector agua potable y saneamiento</t>
  </si>
  <si>
    <t>Contratación de un Diplomado en Gestión Integral del Agua Potable</t>
  </si>
  <si>
    <t>B.1.5.5.</t>
  </si>
  <si>
    <t>Diplomado en Gestión de Aguas Residuales</t>
  </si>
  <si>
    <t>B.1.6.6.</t>
  </si>
  <si>
    <t>Taller práctico de Gestión Comercial</t>
  </si>
  <si>
    <t xml:space="preserve"> Taller de Capacitación Técnica para Operadores</t>
  </si>
  <si>
    <t>Curso Especializado de Economía Circular</t>
  </si>
  <si>
    <t>1.2.2.</t>
  </si>
  <si>
    <t xml:space="preserve">Producto: Asesoria técnicas y acompañamientos proporcionados a las prestadoras APS </t>
  </si>
  <si>
    <t>1.2.2.1</t>
  </si>
  <si>
    <r>
      <rPr>
        <b/>
        <sz val="11"/>
        <color theme="1"/>
        <rFont val="Aptos Narrow"/>
        <family val="2"/>
        <scheme val="minor"/>
      </rPr>
      <t>Actividad:</t>
    </r>
    <r>
      <rPr>
        <sz val="11"/>
        <color theme="1"/>
        <rFont val="Aptos Narrow"/>
        <family val="2"/>
        <scheme val="minor"/>
      </rPr>
      <t xml:space="preserve"> Realizar diagnósticos técnicos, operativos e institucionales   y diseñar planes de mejora para la modernización y eficiencia de los prestadores de servicios APS.</t>
    </r>
  </si>
  <si>
    <t>1.2.2.1.1</t>
  </si>
  <si>
    <t>Tarea: Realizar Diagnóstico Energética</t>
  </si>
  <si>
    <t>1.2.2.1.2</t>
  </si>
  <si>
    <t>Tarea: Realizar Diagnóstico en Operaciones de Agua Potable y Saneamiento</t>
  </si>
  <si>
    <t>1.2.2.1.3</t>
  </si>
  <si>
    <t>Tarea: Realizar Diagnóstico en Agua No Facturada</t>
  </si>
  <si>
    <t>1.2.2.1.4.</t>
  </si>
  <si>
    <t>Tarea: Realizar Diagnóstico Necesidades de Áreas de Compras de las Prestadoras</t>
  </si>
  <si>
    <t>1.2.2.2</t>
  </si>
  <si>
    <r>
      <rPr>
        <b/>
        <sz val="11"/>
        <color theme="1"/>
        <rFont val="Aptos Narrow"/>
        <family val="2"/>
        <scheme val="minor"/>
      </rPr>
      <t xml:space="preserve">Actividad: </t>
    </r>
    <r>
      <rPr>
        <sz val="11"/>
        <color theme="1"/>
        <rFont val="Aptos Narrow"/>
        <family val="2"/>
        <scheme val="minor"/>
      </rPr>
      <t>Proporcionar apoyo diferenciado a través de sesiones de asistencia técnica (presenciales o virtuales) para el fortalecimiento de capacidades institucionales, estratégicas y de gestión alineadas al cumplimiento de los objetivos del programa.</t>
    </r>
  </si>
  <si>
    <t>1.2.2.2.1.</t>
  </si>
  <si>
    <t>Tarea: Implementar acciones de apoyo de desarrollo para las estrategias en eficiencia energética integral</t>
  </si>
  <si>
    <t>1.2.2.2.2</t>
  </si>
  <si>
    <t>Tarea: Implementar acciones de apoyo para el desarrollo de estrategías en gestión operativa y comercial APS.</t>
  </si>
  <si>
    <t>1.2.2.2.3</t>
  </si>
  <si>
    <t>Tarea: Implementar acciones de apoyo para el desarrollo de las estrategias en reducción en agua no facturada.</t>
  </si>
  <si>
    <t>1.2.2.2.4</t>
  </si>
  <si>
    <t>Tarea: Implementar acciones de apoyo para el desarrollo de la gestión ambiental y social de las prestadoras APS</t>
  </si>
  <si>
    <t>1.2.2.2.5</t>
  </si>
  <si>
    <t>Tarea: Realizar acompañamiento técnico en temas de planificación y presupuesto a las prestadoras APS</t>
  </si>
  <si>
    <t>1.2.2.2.6</t>
  </si>
  <si>
    <t>Tarea: Realizar acompañamiento técnico en temas de adquisiciones a las prestadoras APS</t>
  </si>
  <si>
    <t>1.2.2.2.7</t>
  </si>
  <si>
    <t>Tarea: Realizar acompañamiento técnico en temas de gestión financiera a las prestadoras APS</t>
  </si>
  <si>
    <t>1.2.2.2.8</t>
  </si>
  <si>
    <t>Tarea: Realizar acompañamiento técnico en temas de monitoreo, evaluación y aprendizaje a las prestadoras APS</t>
  </si>
  <si>
    <t>B.1.1.12.</t>
  </si>
  <si>
    <t>Contratación de consultoría para fortalecer la Eficiencia Energética de las Prestadoras APS</t>
  </si>
  <si>
    <t>1.2.2.2.3.</t>
  </si>
  <si>
    <t>B.1.4.5.</t>
  </si>
  <si>
    <t>Contratación de consultora para el fortalecimiento a las Prestadoras APS en Reducción de Pérdidas Físicas de Agua Potable</t>
  </si>
  <si>
    <t>1.2.2.2.2.</t>
  </si>
  <si>
    <t>B.1.6.3.</t>
  </si>
  <si>
    <t>Fortalecimiento de la gestión comercial y facturación en prestadoras APS</t>
  </si>
  <si>
    <t>Diseño de un Marco Tarifario de Referencia para la Sostenibilidad y Desempeño del Sector APS</t>
  </si>
  <si>
    <t>B.1.3.3.</t>
  </si>
  <si>
    <t>Contratación de consultoría para fortalecer la eficiencia de Servicios de Agua Potable en Prestadoras APS</t>
  </si>
  <si>
    <t>B.1.5.5</t>
  </si>
  <si>
    <t>Contratación de Consultoría para fortalecer la eficiencia del Tratamiento de Aguas Residuales en Prestadoras APS</t>
  </si>
  <si>
    <t>Diseño de un Marco de Gestión del Cambio Organizacional para empresas públicas del Sector APS</t>
  </si>
  <si>
    <t>Diseño de un Manual de Buenas Prácticas de Gobernanza Corporativa para empresas públicas del Sector APS</t>
  </si>
  <si>
    <t>1.2.2.2.5.</t>
  </si>
  <si>
    <t>Diseño de un modelo de gestión integral de riesgos institucionales en empresas públicas del Sector APS</t>
  </si>
  <si>
    <t xml:space="preserve">Consultoría diagnóstico necesidades áreas de compras de las Prestadoras </t>
  </si>
  <si>
    <t>1.2.2.2.6.</t>
  </si>
  <si>
    <t>Programa Institucional Mejora de Procesos de Unidades de Compras</t>
  </si>
  <si>
    <t>B.1.6.9.</t>
  </si>
  <si>
    <t>Alquiler de equipo de tecnología y almacenamiento de datos</t>
  </si>
  <si>
    <t>B.1.6.5.</t>
  </si>
  <si>
    <t>Impresión y encuadernación</t>
  </si>
  <si>
    <t>B.1.6.12./B.1.5.11.</t>
  </si>
  <si>
    <t>Eventos generales</t>
  </si>
  <si>
    <t>B.1.5.9/B.1.1.8./B.1.3.9./ B.1.4.9./B.1.6.10.</t>
  </si>
  <si>
    <t>Servicios de catering</t>
  </si>
  <si>
    <t>B.1.1.9./B1.3.11./B.1.4.10./B.1.5.10./B.1.6.11.</t>
  </si>
  <si>
    <t>Útiles de escritorio, oficina, informática y enseñanza</t>
  </si>
  <si>
    <t>B.1.6.8./B.1.5.7./B.1.4.7./ B.1.3.7./B.1.1.6.</t>
  </si>
  <si>
    <t xml:space="preserve">B.1.1.9. </t>
  </si>
  <si>
    <t>Otros servicios técnicos profesionales</t>
  </si>
  <si>
    <t>1.2.4.</t>
  </si>
  <si>
    <t>Producto: Apoyo proporcionado para  la creación de la unidad de gestión A&amp;S y equidad de género en CORAAVEGA , &amp; la modernización de la estructura A&amp;S en CORAASAN e INAPA</t>
  </si>
  <si>
    <t xml:space="preserve">Diseño de un Marco Técnico y Herramienta para Priorización de Inversiones Resilientes </t>
  </si>
  <si>
    <t xml:space="preserve">Guía metodológica para evaluación de riesgos ambientales y climáticos en proyectos APS </t>
  </si>
  <si>
    <t>Lineamientos para incorporación de Soluciones Basadas en la Naturaleza (SbN) en infraestructura</t>
  </si>
  <si>
    <t>Estudios sobre huella hídrica y emisiones de carbono en operaciones APS y Diseño de un modelo de medición de huella hídrica y de carbono en prestadoras APS</t>
  </si>
  <si>
    <t>B.1.2.5.</t>
  </si>
  <si>
    <t>Curso sobre Gestión Organizacional y Ambiental para Certificación ISO 9001 e ISO 14001</t>
  </si>
  <si>
    <t>Contratación de consultoría para fortalecer la Gestión Ambiental y Social en Prestadoras APS</t>
  </si>
  <si>
    <t>B.1.2.7.</t>
  </si>
  <si>
    <t>1.2.6.</t>
  </si>
  <si>
    <t>Producto: Fortalecimiento del Sistema de Información de la Gestión Financiera (SIGEF)</t>
  </si>
  <si>
    <t>B.1.7.10.</t>
  </si>
  <si>
    <t>Adquisición de Vehículos de Motor para los Viceministerios de Presupuesto, Contabilidad y Contrataciones (DIGEPRES) y Planificación e Inversión Pública del Viceministerio de Hacienda y Economía</t>
  </si>
  <si>
    <t>B.1.7.3.</t>
  </si>
  <si>
    <t>Desarrollo de Módulos de Proyectos de Inversión Publica y Empresas Públicas del SIGEF</t>
  </si>
  <si>
    <t>B.1.7.6.</t>
  </si>
  <si>
    <t>Programa de Liderazgo para la Gestión Publica PLGP</t>
  </si>
  <si>
    <t>Contratación de consultoría para fortalecer la Gestión Administrativa y Financiera en Prestadoras APS</t>
  </si>
  <si>
    <t>B.1.7.12.</t>
  </si>
  <si>
    <t>B.1.7.5.</t>
  </si>
  <si>
    <t>B.1.7.8.</t>
  </si>
  <si>
    <t>B.1.7.9.</t>
  </si>
  <si>
    <t>Alquiler de equipo de tecnología y alamacenamiento de datos</t>
  </si>
  <si>
    <t>1.2.7.</t>
  </si>
  <si>
    <t>Producto: Fortalecimiento del Sistema Nacional de Inversión Pública (SNIP)</t>
  </si>
  <si>
    <t>B.1.8.8.</t>
  </si>
  <si>
    <t>Programa de Preparación para la Certificación PMP</t>
  </si>
  <si>
    <t>B.1.8.5.</t>
  </si>
  <si>
    <t>Consultoría para Fortalecimiento de la Gerencia y Ejecución de carteras de Proyectos ejecutados por empresas APS en el marco del SNIP.</t>
  </si>
  <si>
    <t>Consultoría para el acompañamiento en la gestión de la cartera de proyectos del prestador APS.</t>
  </si>
  <si>
    <t>Consultoría para Revisión y Fortalecimiento de Instrumentos de Gestión del Proyecto</t>
  </si>
  <si>
    <t>Actualización de las Normas Técnicas y Metodologías de Formulación de Proyectos del Sistema Nacional de Inversión Publica (SNIP)</t>
  </si>
  <si>
    <t>Diplomado en Formulación y Evaluación de Proyectos de Inversión y Desarrollo</t>
  </si>
  <si>
    <t>B.1.8.12.</t>
  </si>
  <si>
    <t>B.1.8.13.</t>
  </si>
  <si>
    <t>B.1.8.7.</t>
  </si>
  <si>
    <t>B.1.8.10.</t>
  </si>
  <si>
    <t>B.1.8.3.</t>
  </si>
  <si>
    <t>B.1.8.11.</t>
  </si>
  <si>
    <t>Alquiler de equipo de tecnología y almacenamientos de datos</t>
  </si>
  <si>
    <t xml:space="preserve">2.1.1. </t>
  </si>
  <si>
    <t>Producto: Reglamento de aplicación de la ley desarrollado y socializado con los actores involucrados del sector</t>
  </si>
  <si>
    <t>2.1.1.</t>
  </si>
  <si>
    <t>C.1.1.10.</t>
  </si>
  <si>
    <t>Consultoría para realizar un diagnostico a la propuesta de ley agua y proponer ajustes necesarios para afianzar su implementación.</t>
  </si>
  <si>
    <t>Consultoría para elaborar el reglamento de aplicación de la Ley de Agua.</t>
  </si>
  <si>
    <t>Consultoría para la realizar el diseño orgánico de la nueva institucionalidad del INDRHI (Manuales de Cargo, Organigrama, Escala salarial, Políticas y Procedimientos administrativos, etc.).</t>
  </si>
  <si>
    <t>Consultoría para la conceptualización de una Unidad de Seguridad de Infraestructura Hídrica del INDRHI.</t>
  </si>
  <si>
    <t>C.1.1.18.
C.1.1.10.</t>
  </si>
  <si>
    <t>Gestión documental (Agregar mas detalle)</t>
  </si>
  <si>
    <t>C.1.1.13.</t>
  </si>
  <si>
    <t>Implementación un de un programa de seguridad informática para evitar campañas de Phishing, hackeos, y vulnerabilidades informáticas.</t>
  </si>
  <si>
    <t>Adquisición de softwares y/o licencias informáticas para programas especializados.</t>
  </si>
  <si>
    <t>Especialista en Gestión de Recursos Hídricos</t>
  </si>
  <si>
    <t>C.1.1.12.
C.1.1.20.</t>
  </si>
  <si>
    <t>Remozamiento del departamento de Hidrología del INDRHI, en el edificio 1.</t>
  </si>
  <si>
    <t>311/07/2027</t>
  </si>
  <si>
    <t>C.1.1.20</t>
  </si>
  <si>
    <t>Remozamiento de la Dirección de Planificación Hídrica del INDRHI, en el edificio 2.</t>
  </si>
  <si>
    <t>Equipamiento de la Sala Virtual del INDRHI, en el edificio 2.</t>
  </si>
  <si>
    <t>Remozamiento de la Dirección de Planificación para el Desarrollo Institucional del INDRHI, en el edificio 2.</t>
  </si>
  <si>
    <t>Ampliación del Laboratorio Nacional del Agua del INDRHI</t>
  </si>
  <si>
    <t>Adquisición de equipos informaticos para la Unidad de Seguridad de Infraestructura Hídrica, el Centro de Previsión Hidrológica, Dirección de Planificación Hídrica y Dirección de Planificación para el Desarrollo Institucional del INDRHI.</t>
  </si>
  <si>
    <t>C.1.1.12.</t>
  </si>
  <si>
    <t>Adquisición de mobiliarios para la Unidad de Seguridad de Infraestructura Hídrica, el Centro de Previsión Hidrológica, Dirección de Planificación Hídrica y Dirección de Planificación para el Desarrollo Institucional del INDRHI.</t>
  </si>
  <si>
    <t>Adquisición de equipos especializados para el Laboratorio Nacional del Agua del INDRHI.</t>
  </si>
  <si>
    <t>Adquisición de mobiliarios especializados para el Laboratorio Nacional del Agua del INDRHI.</t>
  </si>
  <si>
    <t>C.1.1.11.</t>
  </si>
  <si>
    <t>Adquisición de 6 camionetas para la Unidad de Seguridad de Infraestructura Hídrica del INDRHI.</t>
  </si>
  <si>
    <t>Adquisición de 2 vehículos de motor para el Laboratorio Nacional del Agua del INDRHI</t>
  </si>
  <si>
    <t>Misiones técnicas especializadas en las entidades Internacionales Gestión de Recursos Hídricos y aplicación de cambios en Modelos Institucionales (Actividad Operativa).</t>
  </si>
  <si>
    <t>C.1.1.19.</t>
  </si>
  <si>
    <t>Seminarios técnicos en Gestión de Recursos Hídricos y aplicación de cambios en Modelos Institucionales (Actividad Operativa).</t>
  </si>
  <si>
    <t>Campaña de Concientización a la Ley de Agua y difusión de la Nueva Institucionalidad.</t>
  </si>
  <si>
    <t>Levantamiento del Inventario Nacional de Infraestructura Hidraulica del INDRHI.</t>
  </si>
  <si>
    <t>TOTAL</t>
  </si>
  <si>
    <t>Resultado</t>
  </si>
  <si>
    <t>Componente</t>
  </si>
  <si>
    <t>PEP 2024-2027
Categoria de Inversión</t>
  </si>
  <si>
    <t>Macro Producto</t>
  </si>
  <si>
    <t>Producto</t>
  </si>
  <si>
    <t>Actividad</t>
  </si>
  <si>
    <t>Tarea</t>
  </si>
  <si>
    <t>1. Fortalecida la capacidad institucional para la gestión, supervisión y evaluación del Programa de Modernización del Sector APS, promoviendo la generación y retención de conocimientos a nivel nacional.</t>
  </si>
  <si>
    <t>1.1. Supervisión, Coordinación, Seguimiento y Evaluación del Programa de Modernización del Sector APS</t>
  </si>
  <si>
    <t xml:space="preserve">A.1.1. Rehabilitación de Oficina de la Unidad de Gestión y Coordinación del Proyecto UGCP </t>
  </si>
  <si>
    <t xml:space="preserve">Se movio a Gastos Operativos vinculados al Producto 1.1.11. Operatividad de la Unidad de Gestión y Coordinación del Proyecto UGCP </t>
  </si>
  <si>
    <t>A.1.2. Equipamiento de Oficina de la Unidad de Gestión y Coordinación del Proyecto UGCP</t>
  </si>
  <si>
    <t>A.1.3. Adquisición de Vehículos de motor para la Unidad de Gestión y Coordinación del Proyecto UGCP</t>
  </si>
  <si>
    <t>A.1.4. Operatividad de la Unidad de Gestión y Coordinación del Proyecto UGCP</t>
  </si>
  <si>
    <t>Operatividad de la Unidad de Gestión y Coordinación del Proyecto UGCP</t>
  </si>
  <si>
    <t>1.1.1. Plan Operativo Anual (POA) del proyecto IPF-MEPYD formulado, validado e implementado, que define las acciones, metas e indicadores anuales en línea con los objetivos del programa.</t>
  </si>
  <si>
    <t>1.1.1.1. Coordinar e implementar talleres de seguimiento trimestrales para el ajuste y validación conjunta de la planificación y presupuesto, con base en los avances, lecciones aprendidas y cambios contextuales.</t>
  </si>
  <si>
    <t>1.1.1.2. Actualizar Manual de Operaciones del Programa</t>
  </si>
  <si>
    <t>1.1.2. Presupuesto Anual del Proyecto IPF-MEPyD formulado, validado y ejecutado</t>
  </si>
  <si>
    <t>1.1.2.1. Coordinar e implementar actividades para el ajuste y validación conjunta del presupuesto anual, con base en los avances, lecciones aprendidas y cambios contextuales.</t>
  </si>
  <si>
    <t>1.1.2.2. Programar los recursos a ser incluidos en el Plan de Inversión del Siguiente Ejercicio Presupuestario.</t>
  </si>
  <si>
    <t>1.1.2.3. Capturar la información trimestral de ejecución físico - financiera SNIP 16261 (Programa de Modernización del Sector APS)</t>
  </si>
  <si>
    <t>1.1.3. Plan de Adquisiciones formulado e implementado por la UGCP.</t>
  </si>
  <si>
    <t>1.1.3.1. Verificar y validar actividades en el Plan de Operativo Anual</t>
  </si>
  <si>
    <t>1.1.3.2. Crear nueva actividad en STEP</t>
  </si>
  <si>
    <t>1.1.3.3. Cargar y remitir en STEP el Plan de Adquisiciones para No Objeción por parte del Grupo Banco Mundial.</t>
  </si>
  <si>
    <t>1.1.3.4. Gestionar los procesos de selección y evaluación técnica-económica de propuestas</t>
  </si>
  <si>
    <t>1.1.3.5. Gestionar los procesos de adjudicación y formalización de contratos</t>
  </si>
  <si>
    <t>1.1.4. Formulario Financiero de Presentación de Gastos (SOE) elaborado y entregado</t>
  </si>
  <si>
    <t>1.1.4.1. Elaborar formulario SOE con los datos de los expendientes pagados</t>
  </si>
  <si>
    <t>1.1.4.2. Remitir a la coordinación el formulario SOE para su revisión y validación.</t>
  </si>
  <si>
    <t>1.1.4.3. Tramitar el formulario SOE para firma y aprobación al VAF</t>
  </si>
  <si>
    <t>1.1.4.4. Registrar solicitud de reporte de gastos en Client Connection con el reporte de SOE adjunto y enviar para firma de los firmantes autorizados.</t>
  </si>
  <si>
    <t>1.1.4.5. Tramitar vía Client Connection  para la firma y remisión de lugar</t>
  </si>
  <si>
    <t>1.1.5. Informe Financiero Interino (IFR) elaborado y validado.</t>
  </si>
  <si>
    <t>1.1.5.1. Elaborar IFR con los datos financieros del Programa (IPF-MEPYD, IPF-INDRHI, PporR) suministrado por SIGEF-UEPEX</t>
  </si>
  <si>
    <t>1.1.5.2. Remitir IFR a la coordinación para su revisión y validación.</t>
  </si>
  <si>
    <t>1.1.5.3. Incluir IFR en el informe semestral de la operación.</t>
  </si>
  <si>
    <t>1.1.5.4. Remitir IFR via Client Connection</t>
  </si>
  <si>
    <t>1.1.6. Solicitud de Desembolso IPF-MEpyD</t>
  </si>
  <si>
    <t>1.1.6.1. Preparar y suministrar al auditor externo la documentación necesaria para la auditoría, incluyendo la matriz de gastos, la recopilación de información de pagos, el convenio de préstamo, el presupuesto, los manuales de políticas y procedimientos de la UGCP-MEPyD y UCIP (UGCP-INDRHI), y la balanza de comprobación.</t>
  </si>
  <si>
    <t>1.1.7. Auditoría Financiera Externa</t>
  </si>
  <si>
    <t>1.1.7.1. Preparar y suministrar al auditor externo la documentación necesaria para la auditoría, incluyendo la matriz de gastos, la recopilación de información de pagos, el convenio de préstamo, el presupuesto, los manuales de políticas y procedimientos de la UGCP-MEPyD y UCIP (UGCP-INDRHI), y la balanza de comprobación.</t>
  </si>
  <si>
    <t>1.1.8. Sistema de Monitoreo del Proyecto diseñado e implementado por la UGCP</t>
  </si>
  <si>
    <t>1.1.8.1. Desarrollar el "Manual de Monitoreo del Programa", incluyendo la descripción del Sistema de Monitoreo y los Procedimientos Operativos Estandarizados para el uso de la plataforma.</t>
  </si>
  <si>
    <t>1.1.8.1.1. Contratar y configurar la plataforma de monitoreo del programa</t>
  </si>
  <si>
    <t>1.1.8.1.2. Definir los procedimientos operativos estandarizados (POE) para ingreso de datos a la plataforma</t>
  </si>
  <si>
    <t>1.1.8.1.3. Redactar borrador inicial del manual</t>
  </si>
  <si>
    <t>1.1.8.1.4. Validar borrador con el equipo técnico y entidades ejecutoras</t>
  </si>
  <si>
    <t>1.1.8.1.5. Ajustar y elaborar versión final del manual</t>
  </si>
  <si>
    <t>1.1.8.1.6. Difundir el manual aprobado entre los actores clave</t>
  </si>
  <si>
    <t>1.1.8.2. Implementar actividades de capacitación para el manejo correcto del sistema y la plataforma de monitoreo.</t>
  </si>
  <si>
    <t>1.1.8.2.1. Diseñar la capacitación (contenidos, metodología, agenda)</t>
  </si>
  <si>
    <t>1.1.8.2.2. Elaborar materiales didácticos (manuales, guías, presentaciones)</t>
  </si>
  <si>
    <t>1.1.8.2.3. Coordinar logística de las sesiones (fechas, lugares,)</t>
  </si>
  <si>
    <t>1.1.8.2.4. Facilitar talleres de capacitación (teórico-prácticos)</t>
  </si>
  <si>
    <t>1.1.8.2.5. Evaluar la efectividad de la capacitación (encuestas, pruebas, retroalimentación).</t>
  </si>
  <si>
    <t>1.1.8.3. Sesiones de seguimiento trimestral con las entidades ejecutoras, para revisión del progreso, retroalimentación y aplicación de ajustes en la implementación</t>
  </si>
  <si>
    <t>1.1.8.3.1. Planificar calendario de sesiones de seguimiento</t>
  </si>
  <si>
    <t>1.1.8.3.2. Preparar insumos técnicos y reportes de avance</t>
  </si>
  <si>
    <t>1.1.8.3.3. Realizar reuniones con las entidades ejecutoras</t>
  </si>
  <si>
    <t>1.1.8.3.4. Documentar acuerdos, recomendaciones y ajustes propuestos</t>
  </si>
  <si>
    <t>1.1.8.4. Elaborar informes semestrales de la operación para presentar a Banco Mundial</t>
  </si>
  <si>
    <t>1.1.8.4.1. Recopilar datos y evidencias de avance de las áreas clave y técnicas</t>
  </si>
  <si>
    <t>1.1.8.4.2. Sistematizar y analizar la información recolectada.</t>
  </si>
  <si>
    <t>1.1.8.4.3. Validar internamente el informe.</t>
  </si>
  <si>
    <t>1.1.8.4.4. Remitir informe al Banco Mundial.</t>
  </si>
  <si>
    <t>1.1.8.5. Evauación anual del Acuerdo de desempeño realizado por la UGCP</t>
  </si>
  <si>
    <t>1.1.8.5.1. Recopilar información de desempeño de las entidades ejecutoras</t>
  </si>
  <si>
    <t>1.1.8.5.2. Analizar cumplimiento de los indicadores acordados</t>
  </si>
  <si>
    <t>1.1.8.5.3. Elaborar informe anual de evaluación</t>
  </si>
  <si>
    <t>1.1.8.5.4. Presentar y socializar resultados con la UGCP y actores relevantes</t>
  </si>
  <si>
    <t>1.1.8.6. Organizar y facilitar sesiones con  el equipo involucrado, para identificar, documentar y diseminar las lecciones aprendidas del programa.</t>
  </si>
  <si>
    <t>1.1.8.6.1. Planificar sesiones de reflexión con los equipos involucrados</t>
  </si>
  <si>
    <t>1.1.8.6.2. Facilitar talleres participativos para documentar experiencias</t>
  </si>
  <si>
    <t>1.1.8.6.3. Sistematizar lecciones aprendidas y buenas prácticas</t>
  </si>
  <si>
    <t>1.1.8.6.4. Difundir documento de lecciones aprendidas entre actores del programa</t>
  </si>
  <si>
    <t>1.1.8.7. Realizar ejercicio de Verificación Independiente de una Agencia Externa para la Evaluación Anual de Logros.</t>
  </si>
  <si>
    <t>1.1.8.7.1. Validar alcance y metodología de la verificación</t>
  </si>
  <si>
    <t>1.1.8.7.2. Facilitar acceso a información y documentación requerida</t>
  </si>
  <si>
    <t>1.1.8.7.3. Supervisar ejecución del proceso de verificación</t>
  </si>
  <si>
    <t>1.1.8.7.4. Recibir y analizar informe de verificación externa</t>
  </si>
  <si>
    <t>1.1.8.8 Implementar el ejercicio de Evaluación de Medio Término del Programa.</t>
  </si>
  <si>
    <t>1.1.8.8.1. Contratar consultoría individual para realizar la EMT</t>
  </si>
  <si>
    <t>1.1.8.8.2. Realizar el ejercicio íntegro de Evaluación de Medio Término</t>
  </si>
  <si>
    <t>1.1.8.8.3. Difundir y divulgar los resultados de la EMT</t>
  </si>
  <si>
    <t>1.1.9. Marco metodológico para el monitoreo del desempeño institucional de las prestadoras de servicios de agua potable y saneamiento del programa, formulado e implementado.</t>
  </si>
  <si>
    <t>1.1.9.1. Formulación documental del sistema de monitoreo de desempeño, incluyendo definiciones, método de cálculo, frecuencia y medios de verificación de las variables identificadas.</t>
  </si>
  <si>
    <t>1.1.9.1.1. Contratar consultoría Individual para formulación del marco</t>
  </si>
  <si>
    <t>1.1.9.1.2. Operativizar la formulación del marco, a través de la consultoría individual contratada</t>
  </si>
  <si>
    <t>1.1.9.1.3. Difundir y socializar los resultados de la formulación del marco</t>
  </si>
  <si>
    <t>1.1.9.2. Desarrollo e implementación de un software especializado para la interoperabilidad de los de datos operativos, comerciales y financieros levantados por las entidades ejecutoras.</t>
  </si>
  <si>
    <t>1.1.9.2.1. Contratar consultoría para desarrollo e implementación del software</t>
  </si>
  <si>
    <t xml:space="preserve">1.1.9.2.2. Operativizar las tareas y el flujo necesarios para desarrollo e implementación del software </t>
  </si>
  <si>
    <t>1.1.9.2.3. Diseño de guías y manuales para uso correcto del software</t>
  </si>
  <si>
    <t>1.1.9.3. Organización de talleres y capacitaciones para el personal de los prestadores de APS aobre el marco de monitoreo, y  el manejo de herramientas de supervisión y el uso de datos para la toma de decisiones.</t>
  </si>
  <si>
    <t>1.1.9.3.1. Diseño de capacitaciones: metodología, contenido, material de apoyo</t>
  </si>
  <si>
    <t>1.1.9.3.2. Implementación de talleres y capacitaciones: formación, evaluación y reportes.</t>
  </si>
  <si>
    <t>1.1.9.4. Evaluación anual del marco de monitoreo para identificar áreas de mejora y actualizar indicadores o herramientas, según sea necesario.</t>
  </si>
  <si>
    <t>1.1.9.4.1. Diseño de la metodología de evaluación</t>
  </si>
  <si>
    <t>1.1.9.4.2. Implementación de las herramientas de evaluación</t>
  </si>
  <si>
    <t>1.1.9.4.3. Sistematización y difusión de hallazgos.</t>
  </si>
  <si>
    <t>1.1.10. Marco Ambiental y Social (MAS)</t>
  </si>
  <si>
    <t>1.1.10.1. Plan de Participacion de Partes Interesadas (PPPI)</t>
  </si>
  <si>
    <t>1.1.10.1.1. Diseñar, desarrollar y divulgar materiales de implementacion</t>
  </si>
  <si>
    <t>1.1.10.1.2. Consultar y socializar el mecanismo de quejas</t>
  </si>
  <si>
    <t>1.1.10.1.3. Implementar y monitorear mecanismo de quejas del proyecto</t>
  </si>
  <si>
    <t>1.1.10.2. Plan de Gestión Laboral (PGL)</t>
  </si>
  <si>
    <t>1.1.10.2.1. Socializar el Código de ëtica y Conducta de los Trabajadores</t>
  </si>
  <si>
    <t>1.1.10.2.2. Implementar y monitorear el Mecanismo de Quejas de los Trabajadores.</t>
  </si>
  <si>
    <t>1.1.10.3. Plan de capacitaciones A&amp;S</t>
  </si>
  <si>
    <t>1.1.10.4. Plan de Gestion Ambiental y Social (PGAS)</t>
  </si>
  <si>
    <t>1.1.11. Operatividad de la Unidad de Gestión y Coordinación del Proyecto UGCP</t>
  </si>
  <si>
    <t xml:space="preserve">A.1.5. Ejercicios de Auditorias Externas Anuales (Financieras) para Componente IPF (MEPyD e INDRHI) y Programa por Resultado (PporR) </t>
  </si>
  <si>
    <t>Se movio al Producto 1.1.7. Auditoría Financiera Externa</t>
  </si>
  <si>
    <t xml:space="preserve">A.1.6. Actos de lanzamiento, Presentación de Resultados Anuales y Clausura del Programa de Modernización Sector </t>
  </si>
  <si>
    <t>A.1.7. Ejercicios de Verificación Independiente a logros de Resultados (IVD's) correspondientes al ejercicio de las prestadoras durante el año</t>
  </si>
  <si>
    <t>Se movio al Actividad 1.1.8.7. Realizar ejercicio de Verificación Independiente de una Agencia Externa para la Evaluación Anual de Logros.</t>
  </si>
  <si>
    <t xml:space="preserve">1.2. Asesorías técnicas y acompañamientos proporcionados a las prestadoras APS </t>
  </si>
  <si>
    <t>Transversal a B.1.1, B.1.2. B.1.3, B.1.4, B.1.5 y B.1.6</t>
  </si>
  <si>
    <t>1.2.1. Plan de capacitaciones para las prestadoras de servicios APS desarrollado e implementado</t>
  </si>
  <si>
    <t>1.2.1.1. Diagnosticar las necesidades de capacitación de las prestadoras de servicios APS.</t>
  </si>
  <si>
    <t>1.2.1.2. Identificar brechas de capacidades técnicas, operativas y de gestión.</t>
  </si>
  <si>
    <t>1.2.1.3. Priorizar los temas de formación según las necesidades identificadas y los objetivos del Programa.</t>
  </si>
  <si>
    <t>1.2.1.4. Diseñar el plan de formación con objetivos, contenidos, cronograma y metodología.</t>
  </si>
  <si>
    <t>1.2.1.5. Coordinar con actores clave la validación del plan (prestadoras, INAPA, UGCP, etc.).</t>
  </si>
  <si>
    <t>1.2.1.6. Presentar el plan de capacitación para su aprobación por las instancias correspondientes.</t>
  </si>
  <si>
    <t>1.2.1.7. Contratar o coordinar a los facilitadores o entidades formadoras.</t>
  </si>
  <si>
    <t>1.2.1.8. Organizar la logística de las capacitaciones (convocatoria, espacios, materiales, etc.).</t>
  </si>
  <si>
    <t>1.2.1.9. Ejecutar las sesiones formativas según el cronograma establecido.</t>
  </si>
  <si>
    <t>1.2.1.10. Registrar la asistencia y recolectar evidencias de las actividades realizadas.</t>
  </si>
  <si>
    <t>1.2.1.11. Evaluar los resultados de la capacitación mediante encuestas y pruebas.</t>
  </si>
  <si>
    <t>1.2.1.12. Ajustar el plan según los resultados y retroalimentación obtenida.</t>
  </si>
  <si>
    <t>1.2.1.13. Elaborar el informe final de implementación con resultados y recomendaciones.</t>
  </si>
  <si>
    <t>B 1.1. Asesoría en Eficiencia Energética para los prestadores de APS</t>
  </si>
  <si>
    <t xml:space="preserve">1.2.2. Asesoria técnicas y acompañamientos proporcionados a las prestadoras APS </t>
  </si>
  <si>
    <t>1.2.2.1. Realizar diagnósticos técnicos, operativos e institucionales   y diseñar planes de mejora para la modernización y eficiencia de los prestadores de servicios APS.</t>
  </si>
  <si>
    <t>1.2.2.1.1. Realizar Diagnóstico Energética</t>
  </si>
  <si>
    <t>B.1.3. Asistencias Técnicas para la Modernización de las Empresas Públicas Prestadoras de Servicios de APS y Rectoras vinculadas
B.1.5. Entrenamiento en técnologías costo efectivo para tratamiento de aguas residuales para operadores APS
B.1.6. Fortalecimiento de las recaudaciones de las empresas APS por mejoras tarifarias</t>
  </si>
  <si>
    <t xml:space="preserve">1.2.2.1.2. Realizar Diagnóstico en Operaciones de Agua Potable y Saneamiento	</t>
  </si>
  <si>
    <t>B.1.4. Asistencia Técnica para Agua Potable No Contabilizada y y aspectos Comerciales (Mejores Prácticas)</t>
  </si>
  <si>
    <t>1.2.2.1.3. Realizar Diagnóstico en Agua No Facturada</t>
  </si>
  <si>
    <t>1.2.2.1.4. Realizar Diagnóstico Necesidades de Áreas de Compras de las Prestadoras.</t>
  </si>
  <si>
    <t xml:space="preserve">1.2.2.2. Proporcionar apoyo diferenciado a través de sesiones de asistencia técnica (presenciales o virtuales) para el fortalecimiento de capacidades institucionales, estratégicas y de gestión alineadas al cumplimiento de los objetivos del programa. </t>
  </si>
  <si>
    <t xml:space="preserve">1.2.2.2.1. Implementar acciones de apoyo de desarrollo para las estrategias en  eficiencia energética integral	</t>
  </si>
  <si>
    <t>1.2.2.2.2.Implementar acciones de apoyo para el desarrollo de estrategías en gestión operativa y comercial APS.</t>
  </si>
  <si>
    <t>1.2.2.2.3.Implementar acciones de apoyo para el desarrollo de las estrategias en reducción en agua no facturada.</t>
  </si>
  <si>
    <t>1.2.2.2.4. Implementar acciones de apoyo para el desarrollo de la gestión ambiental y social de las prestadoras APS</t>
  </si>
  <si>
    <t>1.2.2.2.5.Realizar acompañamiento técnico en temas de planificación y presupuesto a las prestadoras APS</t>
  </si>
  <si>
    <t>1.2.2.2.6. Realizar acompañamiento técnico en temas de adquisiciones a las prestadoras APS</t>
  </si>
  <si>
    <t>1.2.2.2.7. Realizar acompañamiento técnico en temas de gestión financiera a las prestadoras APS</t>
  </si>
  <si>
    <t>1.2.2.2.8. Realizar acompañamiento técnico en temas de monitoreo, evaluación y aprendizaje a las prestadoras APS</t>
  </si>
  <si>
    <t>B 1.2. Asistencia Técnica para mejorar la resiliencia de prestación de servicios de APS (Entrenamientos para mejorar temas de género, participación ciudadana y fortalecer los prestadores en temas ambientales y sociales)</t>
  </si>
  <si>
    <t>1.2.3. Sistema de Gestion Ambiental y Social (SGAS)</t>
  </si>
  <si>
    <t>1.2.3.1. Diseñar un sistema de reporte Homologado</t>
  </si>
  <si>
    <t>1.2.3.2. Sostener sesiones de intercambio de buenas prácticas</t>
  </si>
  <si>
    <t>1.2.3.3. Apoyar en el desarrollo de manuales para la gestión Ambiental y Social</t>
  </si>
  <si>
    <t>1.2.3.4. Implementar estrategias que promuevan la participación efectiva de los ciudadanos beneficiarios de manera permanente, particularmente en materia de mecanismos de denuncia, priorizando grupos vulnerables.</t>
  </si>
  <si>
    <t>1.2.4. Apoyo proporcionado para  la creación de la unidad de gestión A&amp;S y equidad de género en CORAAVEGA , &amp; la modernización de la estructura A&amp;S en CORAASAN e INAPA</t>
  </si>
  <si>
    <t>1.2.4.1. Proponer la creación, modernizacion y eficientizacion de la estructura institucional necesaria correspondiente a la gestión ambiental y social, gestiones de riesgo, seguridad y salud, tanto a lo interno de las instituciones, así como a lo correspondiente a la ejecución de proyectos; asegurando la capacidad para implementar, cumplir, y hacer cumplir las disposiciones legales, reglamentarias, y normativas, con mayor claridad en las competencias.</t>
  </si>
  <si>
    <t>1.2.4.1.1. Diagnostico Institucional y normativo</t>
  </si>
  <si>
    <t>1.2.4.1.2. Diseño y propuesta de estructura</t>
  </si>
  <si>
    <t>1.2.4.1.3. Validacion y aprobacion de la propuesta</t>
  </si>
  <si>
    <t>1.2.4.2. Recomendar cantidad y perfiles para la dotación de personal ambiental y social calificados en función de las necesidades y de acuerdo con su rol en el programa.</t>
  </si>
  <si>
    <t>1.2.4.2.1. Analisis de necesidades del programa.</t>
  </si>
  <si>
    <t>1.2.4.2.2. Definicion de roles y funciones.</t>
  </si>
  <si>
    <t>1.2.4.2.3. Caracterizacion de roles y funciones (elaboracion de perfiles).</t>
  </si>
  <si>
    <t>1.2.4.2.4. Estimacion de la cantidad de personal requerido.</t>
  </si>
  <si>
    <t>1.2.4.3. Reforzar los requerimientos ambientales y sociales en los pliegos de licitación para los contratistas y la supervisión de obras, incluyendo códigos de conducta que establezcan medidas para prevenir el acoso, la explotación y el abuso sexual.</t>
  </si>
  <si>
    <t>1.2.4.3.1. Analizar los pliegos de licitacion actuales y revisar los requisitos legales y normativos nacionales.</t>
  </si>
  <si>
    <t>1.2.4.3.2. Definir cláusulas ambientales y sociales mínimas obligatorias para contratistas e Incluir requisitos de seguridad y salud ocupacional</t>
  </si>
  <si>
    <t>1.2.4.3.3. Diseñar formatos y herramientas de cumplimiento</t>
  </si>
  <si>
    <t>1.2.4.3.4. Socializar la propuesta de requisitos con las áreas legales, de adquisiciones y de gestión ambiental/social de la institución.</t>
  </si>
  <si>
    <t>1.2.5. Sistema Equal Agua implementadas por las prestadoras</t>
  </si>
  <si>
    <t>1.2.5.1. Promover la participación de las prestadoras en Equal Agua</t>
  </si>
  <si>
    <t>1.2.5.1.1. Implementación de una Mesa de Intercambio de Buenas Prácticas en Materia de Género</t>
  </si>
  <si>
    <t>B.1.7. Fortalecimiento del Sistema de Información de la Gestión Financiera (SIGEF)</t>
  </si>
  <si>
    <t>1.2.6. Fortalecimiento del Sistema de Infromación de la Gestión Financiera (SIGEF)</t>
  </si>
  <si>
    <t>B.1.8. Fortalecimiento del Sistema Nacional de Inversión Pública (SNIP)</t>
  </si>
  <si>
    <t>1.2.7. Fortalecimiento del Sistema Nacional de Inversión Pública (SNIP)</t>
  </si>
  <si>
    <t>2. Incrementadas las capacidades y políticas institucionales de la Gestión de Recursos Hídricos</t>
  </si>
  <si>
    <t>2.1. Mejoramiento del Marco Legal e Institucional</t>
  </si>
  <si>
    <t>C.1.1. Fortalecimiento del Marco Legal e Institucional de la Rectoria de los Recursos Hídricos</t>
  </si>
  <si>
    <t>2.1.1. Reglamento de aplicación de la ley desarrollado y socializado con los actores involucrados del sector</t>
  </si>
  <si>
    <t>2.1.1.1. Realizar actividades de fortalecimiento de capacidades individuales, técnicas e institucionales para la institución que funja como Nuevo Rector de las Aguas</t>
  </si>
  <si>
    <t>2.1.1.2. Formular una propuesta de estructura orgánica para el Nuevo Rector de las Aguas</t>
  </si>
  <si>
    <t>2.1.1.3. Realizar talleres / mesas de socialización con los actores clave del sector</t>
  </si>
  <si>
    <t>2.1.2. Catálogo de buenas prácticas internacionales en gestión de recursos hídricos elaborado y difundido entre instituciones clave vinculadas al sector</t>
  </si>
  <si>
    <t>2.1.2.1. Realizar un Seminario internacional de buenas prácticas internacionales sobre Gestión de Recursos Hídricos.</t>
  </si>
  <si>
    <t>2.1.2.2. Sistematizar la información y experiencias presentadas en el seminario en un producto de conocimiento.</t>
  </si>
  <si>
    <t>2.1.2.3. Difundir el catálogo de buenas prácticas entre las instituciones y actores relevantes del sector hídrico.</t>
  </si>
  <si>
    <t>2.1.3. Producto: Plan de fortalecimiento de las capacidades (técnicas, humanas, de infraestructura y operativas) del INDRHI implementado para la mejora de la GRH</t>
  </si>
  <si>
    <t>1.1. Supervisión, Coordinación, Seguimiento y Evaluación del programa de Modernización del Sector APS</t>
  </si>
  <si>
    <t>1.1.1.Plan Operativo Anual (POA) del proyecto IPF-MEPYD formulado, validado e implementado, que define las acciones, metas e indicadores anuales en línea con los objetivos del programa.</t>
  </si>
  <si>
    <t xml:space="preserve">USD = </t>
  </si>
  <si>
    <t>Estructura de Desglose de Trabajo (EDT)</t>
  </si>
  <si>
    <t>Duración (días)</t>
  </si>
  <si>
    <t>Predecesora</t>
  </si>
  <si>
    <t>Sucesora</t>
  </si>
  <si>
    <t>Costo Total (DOP)</t>
  </si>
  <si>
    <t>Costo Total 
(USD)</t>
  </si>
  <si>
    <t>Julio</t>
  </si>
  <si>
    <t>Agosto</t>
  </si>
  <si>
    <t>Septiembre</t>
  </si>
  <si>
    <t>Octubre</t>
  </si>
  <si>
    <t>Noviembre</t>
  </si>
  <si>
    <t>Diciembre</t>
  </si>
  <si>
    <t>Enero</t>
  </si>
  <si>
    <t>Febrero</t>
  </si>
  <si>
    <t>Marzo</t>
  </si>
  <si>
    <t>Abril</t>
  </si>
  <si>
    <t>Mayo</t>
  </si>
  <si>
    <t>Junio</t>
  </si>
  <si>
    <t>Confirmación</t>
  </si>
  <si>
    <t>0.</t>
  </si>
  <si>
    <t>Proyecto: Finaciamiento de Inversión Pública - MHE/BIRF 9490 (SNIP 16261)</t>
  </si>
  <si>
    <t>INICIO</t>
  </si>
  <si>
    <t>FIN</t>
  </si>
  <si>
    <t>1.</t>
  </si>
  <si>
    <t>Resultado: Fortalecida la capacidad institucional para la gestión, supervisión y evaluación del Programa de Modernización del Sector APS, promoviendo la generación y retención de conocimientos a nivel nacional.</t>
  </si>
  <si>
    <t>1.1.</t>
  </si>
  <si>
    <t>Componente: Supervisión, Coordinación, Seguimiento y Evaluación del programa de Modernización del Sector APS</t>
  </si>
  <si>
    <t>Macroproducto: Operatividad de la Unidad de Gesitón y Coordinación del Proyecto UGCP</t>
  </si>
  <si>
    <t>1.1.1.1</t>
  </si>
  <si>
    <r>
      <rPr>
        <b/>
        <sz val="11"/>
        <color theme="1"/>
        <rFont val="Aptos Narrow"/>
        <family val="2"/>
        <scheme val="minor"/>
      </rPr>
      <t xml:space="preserve">Actividad: </t>
    </r>
    <r>
      <rPr>
        <sz val="11"/>
        <color theme="1"/>
        <rFont val="Aptos Narrow"/>
        <family val="2"/>
        <scheme val="minor"/>
      </rPr>
      <t>Coordinar e implementar talleres de seguimiento trimestrales para el ajuste y validación conjunta de la planificación y presupuesto, con base en los avances, lecciones aprendidas y cambios contextuales.</t>
    </r>
  </si>
  <si>
    <t>1.1.3.1.
1.1.2.1.</t>
  </si>
  <si>
    <t>1.1.1.2</t>
  </si>
  <si>
    <r>
      <rPr>
        <b/>
        <sz val="11"/>
        <color theme="1"/>
        <rFont val="Aptos Narrow"/>
        <family val="2"/>
        <scheme val="minor"/>
      </rPr>
      <t xml:space="preserve">Actividad: </t>
    </r>
    <r>
      <rPr>
        <sz val="11"/>
        <color theme="1"/>
        <rFont val="Aptos Narrow"/>
        <family val="2"/>
        <scheme val="minor"/>
      </rPr>
      <t>Actualizar Manual de Operaciones del Programa</t>
    </r>
  </si>
  <si>
    <t>1.1.2.</t>
  </si>
  <si>
    <t>Producto: Presupuesto Anual del Proyecto IPF-MEPyD formulado, validado y ejecutado</t>
  </si>
  <si>
    <t>1.1.2.1</t>
  </si>
  <si>
    <r>
      <rPr>
        <b/>
        <sz val="11"/>
        <color theme="1"/>
        <rFont val="Aptos Narrow"/>
        <family val="2"/>
        <scheme val="minor"/>
      </rPr>
      <t>Actividad:</t>
    </r>
    <r>
      <rPr>
        <sz val="11"/>
        <color theme="1"/>
        <rFont val="Aptos Narrow"/>
        <family val="2"/>
        <scheme val="minor"/>
      </rPr>
      <t xml:space="preserve"> Coordinar e implementar actividades para el ajuste y validación conjunta del presupuesto anual, con base en los avances, lecciones aprendidas y cambios contextuales.</t>
    </r>
  </si>
  <si>
    <t>1.1.2.2</t>
  </si>
  <si>
    <r>
      <rPr>
        <b/>
        <sz val="11"/>
        <color theme="1"/>
        <rFont val="Aptos Narrow"/>
        <family val="2"/>
        <scheme val="minor"/>
      </rPr>
      <t xml:space="preserve">Actividad: </t>
    </r>
    <r>
      <rPr>
        <sz val="11"/>
        <color theme="1"/>
        <rFont val="Aptos Narrow"/>
        <family val="2"/>
        <scheme val="minor"/>
      </rPr>
      <t>Programar los recursos a ser incluidos en el Plan de Inversión del Siguiente Ejercicio Presupuestario.</t>
    </r>
  </si>
  <si>
    <t>1.1.2.3</t>
  </si>
  <si>
    <r>
      <rPr>
        <b/>
        <sz val="11"/>
        <color theme="1"/>
        <rFont val="Aptos Narrow"/>
        <family val="2"/>
        <scheme val="minor"/>
      </rPr>
      <t>Actividad:</t>
    </r>
    <r>
      <rPr>
        <sz val="11"/>
        <color theme="1"/>
        <rFont val="Aptos Narrow"/>
        <family val="2"/>
        <scheme val="minor"/>
      </rPr>
      <t xml:space="preserve"> Capturar la información trimestral de ejecución físico - financiera SNIP 16261 (Programa de Modernización del Sector APS)</t>
    </r>
  </si>
  <si>
    <t>1.1.3.</t>
  </si>
  <si>
    <t>Producto: Plan de Adquisiciones formulado e implementado por la UGCP.</t>
  </si>
  <si>
    <t>1.1.3.1</t>
  </si>
  <si>
    <r>
      <rPr>
        <b/>
        <sz val="11"/>
        <color theme="1"/>
        <rFont val="Aptos Narrow"/>
        <family val="2"/>
        <scheme val="minor"/>
      </rPr>
      <t>Actividad:</t>
    </r>
    <r>
      <rPr>
        <sz val="11"/>
        <color theme="1"/>
        <rFont val="Aptos Narrow"/>
        <family val="2"/>
        <scheme val="minor"/>
      </rPr>
      <t xml:space="preserve"> Verificar y validar actividades en el Plan de Operativo Anual</t>
    </r>
  </si>
  <si>
    <t>1.1.3.2</t>
  </si>
  <si>
    <r>
      <rPr>
        <b/>
        <sz val="11"/>
        <color theme="1"/>
        <rFont val="Aptos Narrow"/>
        <family val="2"/>
        <scheme val="minor"/>
      </rPr>
      <t>Actividad</t>
    </r>
    <r>
      <rPr>
        <sz val="11"/>
        <color theme="1"/>
        <rFont val="Aptos Narrow"/>
        <family val="2"/>
        <scheme val="minor"/>
      </rPr>
      <t>: Crear nueva actividad en STEP</t>
    </r>
  </si>
  <si>
    <t>1.1.3.3</t>
  </si>
  <si>
    <r>
      <rPr>
        <b/>
        <sz val="11"/>
        <color theme="1"/>
        <rFont val="Aptos Narrow"/>
        <family val="2"/>
        <scheme val="minor"/>
      </rPr>
      <t xml:space="preserve">Actividad: </t>
    </r>
    <r>
      <rPr>
        <sz val="11"/>
        <color theme="1"/>
        <rFont val="Aptos Narrow"/>
        <family val="2"/>
        <scheme val="minor"/>
      </rPr>
      <t>Cargar y remitir en STEP el Plan de Adquisiciones para No Objeción por parte del Grupo Banco Mundial.</t>
    </r>
  </si>
  <si>
    <t>1.1.3.4</t>
  </si>
  <si>
    <r>
      <rPr>
        <b/>
        <sz val="11"/>
        <color theme="1"/>
        <rFont val="Aptos Narrow"/>
        <family val="2"/>
        <scheme val="minor"/>
      </rPr>
      <t xml:space="preserve">Actividad: </t>
    </r>
    <r>
      <rPr>
        <sz val="11"/>
        <color theme="1"/>
        <rFont val="Aptos Narrow"/>
        <family val="2"/>
        <scheme val="minor"/>
      </rPr>
      <t>Gestionar los procesos de selección y evaluación técnica-económica de propuestas</t>
    </r>
  </si>
  <si>
    <t>1.1.3.5</t>
  </si>
  <si>
    <r>
      <rPr>
        <b/>
        <sz val="11"/>
        <color theme="1"/>
        <rFont val="Aptos Narrow"/>
        <family val="2"/>
        <scheme val="minor"/>
      </rPr>
      <t>Actividad:</t>
    </r>
    <r>
      <rPr>
        <sz val="11"/>
        <color theme="1"/>
        <rFont val="Aptos Narrow"/>
        <family val="2"/>
        <scheme val="minor"/>
      </rPr>
      <t xml:space="preserve"> Gestionar los procesos de adjudicación y formalización de contratos</t>
    </r>
  </si>
  <si>
    <t>1.1.4.</t>
  </si>
  <si>
    <t>Producto: Formulario Financiero de Presentación de Gastos (SOE) elaborado y entregado</t>
  </si>
  <si>
    <t>1.1.4.1</t>
  </si>
  <si>
    <r>
      <rPr>
        <b/>
        <sz val="11"/>
        <color theme="1"/>
        <rFont val="Aptos Narrow"/>
        <family val="2"/>
        <scheme val="minor"/>
      </rPr>
      <t>Actividad:</t>
    </r>
    <r>
      <rPr>
        <sz val="11"/>
        <color theme="1"/>
        <rFont val="Aptos Narrow"/>
        <family val="2"/>
        <scheme val="minor"/>
      </rPr>
      <t xml:space="preserve"> Elaborar formulario SOE con los datos de los expendientes pagados</t>
    </r>
  </si>
  <si>
    <t>1.1.4.2</t>
  </si>
  <si>
    <r>
      <rPr>
        <b/>
        <sz val="11"/>
        <color theme="1"/>
        <rFont val="Aptos Narrow"/>
        <family val="2"/>
        <scheme val="minor"/>
      </rPr>
      <t>Actividad:</t>
    </r>
    <r>
      <rPr>
        <sz val="11"/>
        <color theme="1"/>
        <rFont val="Aptos Narrow"/>
        <family val="2"/>
        <scheme val="minor"/>
      </rPr>
      <t xml:space="preserve"> Remitir a la coordinación el formulario SOE para su revisión y validación.</t>
    </r>
  </si>
  <si>
    <t>1.1.4.3</t>
  </si>
  <si>
    <r>
      <rPr>
        <b/>
        <sz val="11"/>
        <color theme="1"/>
        <rFont val="Aptos Narrow"/>
        <family val="2"/>
        <scheme val="minor"/>
      </rPr>
      <t>Actividad:</t>
    </r>
    <r>
      <rPr>
        <sz val="11"/>
        <color theme="1"/>
        <rFont val="Aptos Narrow"/>
        <family val="2"/>
        <scheme val="minor"/>
      </rPr>
      <t xml:space="preserve"> Tramitar el formulario SOE para firma y aprobación al VAF</t>
    </r>
  </si>
  <si>
    <t>1.1.4.4</t>
  </si>
  <si>
    <r>
      <rPr>
        <b/>
        <sz val="11"/>
        <color theme="1"/>
        <rFont val="Aptos Narrow"/>
        <family val="2"/>
        <scheme val="minor"/>
      </rPr>
      <t xml:space="preserve">Actividad: </t>
    </r>
    <r>
      <rPr>
        <sz val="11"/>
        <color theme="1"/>
        <rFont val="Aptos Narrow"/>
        <family val="2"/>
        <scheme val="minor"/>
      </rPr>
      <t>Registrar solicitud de reporte de gastos en Client Connection con el reporte de SOE adjunto y enviar para firma de los firmantes autorizados.</t>
    </r>
  </si>
  <si>
    <t>1.1.4.5</t>
  </si>
  <si>
    <r>
      <rPr>
        <b/>
        <sz val="11"/>
        <color theme="1"/>
        <rFont val="Aptos Narrow"/>
        <family val="2"/>
        <scheme val="minor"/>
      </rPr>
      <t xml:space="preserve">Actividad: </t>
    </r>
    <r>
      <rPr>
        <sz val="11"/>
        <color theme="1"/>
        <rFont val="Aptos Narrow"/>
        <family val="2"/>
        <scheme val="minor"/>
      </rPr>
      <t>Tramitar vía Client Connection  para la firma y remisión de lugar</t>
    </r>
  </si>
  <si>
    <t>1.1.5.</t>
  </si>
  <si>
    <t>Producto: Informe Financiero Interino (IFR) elaborado y validado.</t>
  </si>
  <si>
    <t>1.1.5.1</t>
  </si>
  <si>
    <r>
      <rPr>
        <b/>
        <sz val="11"/>
        <color theme="1"/>
        <rFont val="Aptos Narrow"/>
        <family val="2"/>
        <scheme val="minor"/>
      </rPr>
      <t>Actividad:</t>
    </r>
    <r>
      <rPr>
        <sz val="11"/>
        <color theme="1"/>
        <rFont val="Aptos Narrow"/>
        <family val="2"/>
        <scheme val="minor"/>
      </rPr>
      <t xml:space="preserve"> Elaborar IFR con los datos financieros del Programa (IPF-MEPYD, IPF-INDRHI, PporR) suministrado por SIGEF-UEPEX</t>
    </r>
  </si>
  <si>
    <t>1.1.5.2</t>
  </si>
  <si>
    <r>
      <rPr>
        <b/>
        <sz val="11"/>
        <color theme="1"/>
        <rFont val="Aptos Narrow"/>
        <family val="2"/>
        <scheme val="minor"/>
      </rPr>
      <t>Actividad:</t>
    </r>
    <r>
      <rPr>
        <sz val="11"/>
        <color theme="1"/>
        <rFont val="Aptos Narrow"/>
        <family val="2"/>
        <scheme val="minor"/>
      </rPr>
      <t xml:space="preserve"> Remitir IFR a la coordinación para su revisión y validación.</t>
    </r>
  </si>
  <si>
    <t>1.1.5.3</t>
  </si>
  <si>
    <r>
      <rPr>
        <b/>
        <sz val="11"/>
        <color theme="1"/>
        <rFont val="Aptos Narrow"/>
        <family val="2"/>
        <scheme val="minor"/>
      </rPr>
      <t>Actividad:</t>
    </r>
    <r>
      <rPr>
        <sz val="11"/>
        <color theme="1"/>
        <rFont val="Aptos Narrow"/>
        <family val="2"/>
        <scheme val="minor"/>
      </rPr>
      <t xml:space="preserve"> Incluir IFR en el informe semestral de la operación.</t>
    </r>
  </si>
  <si>
    <t>1.1.5.4</t>
  </si>
  <si>
    <r>
      <rPr>
        <b/>
        <sz val="11"/>
        <color theme="1"/>
        <rFont val="Aptos Narrow"/>
        <family val="2"/>
        <scheme val="minor"/>
      </rPr>
      <t>Actividad:</t>
    </r>
    <r>
      <rPr>
        <sz val="11"/>
        <color theme="1"/>
        <rFont val="Aptos Narrow"/>
        <family val="2"/>
        <scheme val="minor"/>
      </rPr>
      <t xml:space="preserve"> Remitir IFR via Client Connection</t>
    </r>
  </si>
  <si>
    <t>1.1.6.</t>
  </si>
  <si>
    <t>Producto: Solicitud de Desembolso IPF-MEpyD</t>
  </si>
  <si>
    <t>1.1.6.1</t>
  </si>
  <si>
    <r>
      <rPr>
        <b/>
        <sz val="11"/>
        <color theme="1"/>
        <rFont val="Aptos Narrow"/>
        <family val="2"/>
        <scheme val="minor"/>
      </rPr>
      <t xml:space="preserve">Actividad: </t>
    </r>
    <r>
      <rPr>
        <sz val="11"/>
        <color theme="1"/>
        <rFont val="Aptos Narrow"/>
        <family val="2"/>
        <scheme val="minor"/>
      </rPr>
      <t>Preparar y suministrar al auditor externo la documentación necesaria para la auditoría, incluyendo la matriz de gastos, la recopilación de información de pagos, el convenio de préstamo, el presupuesto, los manuales de políticas y procedimientos de la UGCP-MEPyD y UCIP (UGCP-INDRHI), y la balanza de comprobación.</t>
    </r>
  </si>
  <si>
    <t>1.1.7</t>
  </si>
  <si>
    <t>1.1.7.1</t>
  </si>
  <si>
    <t>1.1.8.1</t>
  </si>
  <si>
    <r>
      <rPr>
        <b/>
        <sz val="11"/>
        <color theme="1"/>
        <rFont val="Aptos Narrow"/>
        <family val="2"/>
        <scheme val="minor"/>
      </rPr>
      <t>Actividad:</t>
    </r>
    <r>
      <rPr>
        <sz val="11"/>
        <color theme="1"/>
        <rFont val="Aptos Narrow"/>
        <family val="2"/>
        <scheme val="minor"/>
      </rPr>
      <t xml:space="preserve"> Desarrollar el "Manual de Monitoreo del Programa", incluyendo la descripción del Sistema de Monitoreo y los Procedimientos Operativos Estandarizados para el uso de la plataforma.</t>
    </r>
  </si>
  <si>
    <t>1.1.8.1.1</t>
  </si>
  <si>
    <r>
      <t>Tarea:</t>
    </r>
    <r>
      <rPr>
        <b/>
        <i/>
        <sz val="11"/>
        <color theme="1"/>
        <rFont val="Aptos Narrow"/>
        <family val="2"/>
        <scheme val="minor"/>
      </rPr>
      <t xml:space="preserve"> </t>
    </r>
    <r>
      <rPr>
        <i/>
        <sz val="11"/>
        <color theme="1"/>
        <rFont val="Aptos Narrow"/>
        <family val="2"/>
        <scheme val="minor"/>
      </rPr>
      <t>Contratar y configurar la plataforma de monitoreo del programa</t>
    </r>
  </si>
  <si>
    <t>30/09/2025</t>
  </si>
  <si>
    <t>1.1.8.1.2</t>
  </si>
  <si>
    <r>
      <t>Tarea</t>
    </r>
    <r>
      <rPr>
        <b/>
        <i/>
        <sz val="11"/>
        <color theme="1"/>
        <rFont val="Aptos Narrow"/>
        <family val="2"/>
        <scheme val="minor"/>
      </rPr>
      <t>:</t>
    </r>
    <r>
      <rPr>
        <i/>
        <sz val="11"/>
        <color theme="1"/>
        <rFont val="Aptos Narrow"/>
        <family val="2"/>
        <scheme val="minor"/>
      </rPr>
      <t xml:space="preserve"> Definir los procedimientos operativos estandarizados (POE) para ingreso de datos a la plataforma</t>
    </r>
  </si>
  <si>
    <t>31/10/2025</t>
  </si>
  <si>
    <t xml:space="preserve">1.1.8.1.1 </t>
  </si>
  <si>
    <t>1.1.8.1.3</t>
  </si>
  <si>
    <t>Tarea: Redactar borrador inicial del manual</t>
  </si>
  <si>
    <t>15/11/2025</t>
  </si>
  <si>
    <t>1.1.8.1.4</t>
  </si>
  <si>
    <r>
      <t>Tarea</t>
    </r>
    <r>
      <rPr>
        <b/>
        <i/>
        <sz val="11"/>
        <color theme="1"/>
        <rFont val="Aptos Narrow"/>
        <family val="2"/>
        <scheme val="minor"/>
      </rPr>
      <t xml:space="preserve">: </t>
    </r>
    <r>
      <rPr>
        <i/>
        <sz val="11"/>
        <color theme="1"/>
        <rFont val="Aptos Narrow"/>
        <family val="2"/>
        <scheme val="minor"/>
      </rPr>
      <t>Validar borrador con el equipo técnico y entidades ejecutoras</t>
    </r>
  </si>
  <si>
    <t>30/11/2025</t>
  </si>
  <si>
    <t>1.1.8.1.5</t>
  </si>
  <si>
    <t>Tarea: Ajustar y elaborar versión final del manual</t>
  </si>
  <si>
    <t>31/12/2025</t>
  </si>
  <si>
    <t>1.1.8.1.6</t>
  </si>
  <si>
    <t>Tarea: Difundir el manual aprobado entre los actores clave</t>
  </si>
  <si>
    <t>31/01/2026</t>
  </si>
  <si>
    <t>1.1.8.2.1</t>
  </si>
  <si>
    <t>1.1.8.2</t>
  </si>
  <si>
    <r>
      <rPr>
        <b/>
        <sz val="11"/>
        <color theme="1"/>
        <rFont val="Aptos Narrow"/>
        <family val="2"/>
        <scheme val="minor"/>
      </rPr>
      <t xml:space="preserve">Actividad: </t>
    </r>
    <r>
      <rPr>
        <sz val="11"/>
        <color theme="1"/>
        <rFont val="Aptos Narrow"/>
        <family val="2"/>
        <scheme val="minor"/>
      </rPr>
      <t>Implementar actividades de capacitación para el manejo correcto del sistema y la plataforma de monitoreo.</t>
    </r>
  </si>
  <si>
    <t>Tarea: Diseñar la capacitación (contenidos, metodología, agenda)</t>
  </si>
  <si>
    <t>1.1.8.2.2</t>
  </si>
  <si>
    <t>Tarea: Elaborar materiales didácticos (manuales, guías, presentaciones)</t>
  </si>
  <si>
    <t>1.1.8.2.3</t>
  </si>
  <si>
    <t>Tarea: Coordinar logística de las sesiones (fechas, lugares,)</t>
  </si>
  <si>
    <t>1.1.8.2.4</t>
  </si>
  <si>
    <t>Tarea: Facilitar talleres de capacitación (teórico-prácticos)</t>
  </si>
  <si>
    <t>28/02/2026</t>
  </si>
  <si>
    <t>1.1.8.2.5</t>
  </si>
  <si>
    <t>Tarea: Evaluar la efectividad de la capacitación (encuestas, pruebas, retroalimentación).</t>
  </si>
  <si>
    <t>31/03/2026</t>
  </si>
  <si>
    <t>1.1.8.3</t>
  </si>
  <si>
    <r>
      <rPr>
        <b/>
        <sz val="11"/>
        <color theme="1"/>
        <rFont val="Aptos Narrow"/>
        <family val="2"/>
        <scheme val="minor"/>
      </rPr>
      <t xml:space="preserve">Actividad: </t>
    </r>
    <r>
      <rPr>
        <sz val="11"/>
        <color theme="1"/>
        <rFont val="Aptos Narrow"/>
        <family val="2"/>
        <scheme val="minor"/>
      </rPr>
      <t>Sesiones de seguimiento trimestral con las entidades ejecutoras, para revisión del progreso, retroalimentación y aplicación de ajustes en la implementación</t>
    </r>
  </si>
  <si>
    <t>1.1.8.3.1</t>
  </si>
  <si>
    <t>Tarea: Planificar calendario de sesiones de seguimiento</t>
  </si>
  <si>
    <t>31/3/2026</t>
  </si>
  <si>
    <t>15/01/2027</t>
  </si>
  <si>
    <t>1.1.8.3.2</t>
  </si>
  <si>
    <t>Tarea: Preparar insumos técnicos y reportes de avance</t>
  </si>
  <si>
    <t>1.1.8.3.3</t>
  </si>
  <si>
    <t>Tarea: Realizar reuniones con las entidades ejecutoras</t>
  </si>
  <si>
    <t>1.1.8.3.4</t>
  </si>
  <si>
    <t>Tarea: Documentar acuerdos, recomendaciones y ajustes propuestos</t>
  </si>
  <si>
    <t>1.1.8.4</t>
  </si>
  <si>
    <r>
      <rPr>
        <b/>
        <sz val="11"/>
        <color theme="1"/>
        <rFont val="Aptos Narrow"/>
        <family val="2"/>
        <scheme val="minor"/>
      </rPr>
      <t xml:space="preserve">Actividad: </t>
    </r>
    <r>
      <rPr>
        <sz val="11"/>
        <color theme="1"/>
        <rFont val="Aptos Narrow"/>
        <family val="2"/>
        <scheme val="minor"/>
      </rPr>
      <t>Elaborar informes semestrales de la operación para presentar a Banco Mundial</t>
    </r>
  </si>
  <si>
    <t>1.1.8.4.1.a</t>
  </si>
  <si>
    <t>Tarea: Recopilar datos y evidencias de avance de las áreas clave y técnicas (Semestre II - 2025)</t>
  </si>
  <si>
    <t>1.1.8.4.2.a</t>
  </si>
  <si>
    <t>1.1.8.4.1.b</t>
  </si>
  <si>
    <t>Tarea: Recopilar datos y evidencias de avance de las áreas clave y técnicas (Semestre I - 2026)</t>
  </si>
  <si>
    <t>1.1.8.4.4.a</t>
  </si>
  <si>
    <t>1.1.8.4.2.b</t>
  </si>
  <si>
    <t>1.1.8.4.1.c</t>
  </si>
  <si>
    <t>Tarea: Recopilar datos y evidencias de avance de las áreas clave y técnicas (Semestre II - 2026)</t>
  </si>
  <si>
    <t>1.1.8.4.4.b</t>
  </si>
  <si>
    <t>1.1.8.4.2.c</t>
  </si>
  <si>
    <t>1.1.8.4.1.d</t>
  </si>
  <si>
    <t>Tarea: Recopilar datos y evidencias de avance de las áreas clave y técnicas (Semestre I - 2027)</t>
  </si>
  <si>
    <t>1.1.8.4.4.c</t>
  </si>
  <si>
    <t>1.1.8.4.2.d</t>
  </si>
  <si>
    <t>Tarea: Sistematizar y analizar la información recolectada (Semestre II - 2025)</t>
  </si>
  <si>
    <t>1.1.8.4.3.a</t>
  </si>
  <si>
    <t>Tarea: Sistematizar y analizar la información recolectada (Semestre I - 2026)</t>
  </si>
  <si>
    <t>1.1.8.4.3.b</t>
  </si>
  <si>
    <t>Tarea: Sistematizar y analizar la información recolectada (Semestre II - 2026)</t>
  </si>
  <si>
    <t>1.1.8.4.3.c</t>
  </si>
  <si>
    <t>Tarea: Sistematizar y analizar la información recolectada (Semestre I - 2027)</t>
  </si>
  <si>
    <t>1.1.8.4.3.d</t>
  </si>
  <si>
    <t>Tarea: Validar internamente el informe (Semestre II - 2025)</t>
  </si>
  <si>
    <t>Tarea: Validar internamente el informe (Semestre I - 2026)</t>
  </si>
  <si>
    <t>Tarea: Validar internamente el informe (Semestre II - 2026)</t>
  </si>
  <si>
    <t>Tarea: Validar internamente el informe (Semestre I - 2027)</t>
  </si>
  <si>
    <t>1.1.8.4.4.d</t>
  </si>
  <si>
    <t>Tarea: Remitir informe al Banco Mundial (Semestre II - 2025)</t>
  </si>
  <si>
    <t>Tarea: Remitir informe al Banco Mundial (Semestre I - 2026)</t>
  </si>
  <si>
    <t>Tarea: Remitir informe al Banco Mundial (Semestre II - 2026)</t>
  </si>
  <si>
    <t>Tarea: Remitir informe al Banco Mundial (Semestre I - 2027)</t>
  </si>
  <si>
    <t>1.1.8.5</t>
  </si>
  <si>
    <r>
      <rPr>
        <b/>
        <sz val="11"/>
        <color theme="1"/>
        <rFont val="Aptos Narrow"/>
        <family val="2"/>
        <scheme val="minor"/>
      </rPr>
      <t>Actividad:</t>
    </r>
    <r>
      <rPr>
        <sz val="11"/>
        <color theme="1"/>
        <rFont val="Aptos Narrow"/>
        <family val="2"/>
        <scheme val="minor"/>
      </rPr>
      <t xml:space="preserve"> Evaluación anual del Acuerdo de desempeño realizado por la UGCP</t>
    </r>
  </si>
  <si>
    <t>1.1.8.5.1</t>
  </si>
  <si>
    <t>Tarea: Recopilar información de desempeño de las entidades ejecutoras</t>
  </si>
  <si>
    <t>20/07/2026</t>
  </si>
  <si>
    <t>1.1.8.5.2</t>
  </si>
  <si>
    <t>Tarea: Analizar cumplimiento de los indicadores acordados</t>
  </si>
  <si>
    <t>31/07/2026</t>
  </si>
  <si>
    <t>1.1.8.5.3</t>
  </si>
  <si>
    <t>Tarea: Elaborar informe anual de evaluación</t>
  </si>
  <si>
    <t>14/08/2026</t>
  </si>
  <si>
    <t>1.1.8.5.4</t>
  </si>
  <si>
    <t>Tarea: Presentar y socializar resultados con la UGCP y actores relevantes</t>
  </si>
  <si>
    <t>31/08/2026</t>
  </si>
  <si>
    <t>1.1.8.6</t>
  </si>
  <si>
    <r>
      <rPr>
        <b/>
        <sz val="11"/>
        <color theme="1"/>
        <rFont val="Aptos Narrow"/>
        <family val="2"/>
        <scheme val="minor"/>
      </rPr>
      <t xml:space="preserve">Actividad: </t>
    </r>
    <r>
      <rPr>
        <sz val="11"/>
        <color theme="1"/>
        <rFont val="Aptos Narrow"/>
        <family val="2"/>
        <scheme val="minor"/>
      </rPr>
      <t>Organizar y facilitar sesiones con  el equipo involucrado, para identificar, documentar y diseminar las lecciones aprendidas del programa.</t>
    </r>
  </si>
  <si>
    <t>1.1.8.6.1</t>
  </si>
  <si>
    <t>Tarea: Planificar sesiones de reflexión con los equipos involucrados</t>
  </si>
  <si>
    <t>30/09/2026</t>
  </si>
  <si>
    <t>1.1.8.6.2</t>
  </si>
  <si>
    <t>Tarea: Facilitar talleres participativos para documentar experiencias</t>
  </si>
  <si>
    <t>20/10/2026</t>
  </si>
  <si>
    <t>1.1.8.6.3</t>
  </si>
  <si>
    <t>Tarea: Sistematizar lecciones aprendidas y buenas prácticas</t>
  </si>
  <si>
    <t>25/10/2026</t>
  </si>
  <si>
    <t>1.1.8.6.4</t>
  </si>
  <si>
    <t>Tarea: Difundir documento de lecciones aprendidas entre actores del programa</t>
  </si>
  <si>
    <t>31/10/2026</t>
  </si>
  <si>
    <r>
      <rPr>
        <b/>
        <sz val="11"/>
        <color theme="1"/>
        <rFont val="Aptos Narrow"/>
        <family val="2"/>
        <scheme val="minor"/>
      </rPr>
      <t xml:space="preserve">Actividad: </t>
    </r>
    <r>
      <rPr>
        <sz val="11"/>
        <color theme="1"/>
        <rFont val="Aptos Narrow"/>
        <family val="2"/>
        <scheme val="minor"/>
      </rPr>
      <t>Realizar ejercicio de verificación independiente de una agencia externa para la Evaluación Anual de Logros.</t>
    </r>
  </si>
  <si>
    <t>1.1.8.7.1</t>
  </si>
  <si>
    <t>Tarea: Validar alcance y metodología de la verificación</t>
  </si>
  <si>
    <t>1.1.8.7.3</t>
  </si>
  <si>
    <t>1.1.8.7.2</t>
  </si>
  <si>
    <t>Tarea: Facilitar acceso a información y documentación requerida</t>
  </si>
  <si>
    <t>Tarea: Supervisar ejecución del proceso de verificación</t>
  </si>
  <si>
    <t>1.1.8.7.4</t>
  </si>
  <si>
    <t>Tarea: Recibir y analizar informe de verificación externa</t>
  </si>
  <si>
    <t>1.1.8.8.1</t>
  </si>
  <si>
    <t>Tarea: Contratar consultoría individual para realizar la EMT</t>
  </si>
  <si>
    <t>1.1.8.8.2</t>
  </si>
  <si>
    <t>Tarea: Realizar el ejercicio íntegro de Evaluación de Medio Término</t>
  </si>
  <si>
    <t>1.1.8.8.3</t>
  </si>
  <si>
    <t>Tarea: Difundir y divulgar los resultados de la EMT</t>
  </si>
  <si>
    <t>1.1.9.1</t>
  </si>
  <si>
    <r>
      <rPr>
        <b/>
        <sz val="11"/>
        <color theme="1"/>
        <rFont val="Aptos Narrow"/>
        <family val="2"/>
        <scheme val="minor"/>
      </rPr>
      <t>Actividad:</t>
    </r>
    <r>
      <rPr>
        <sz val="11"/>
        <color theme="1"/>
        <rFont val="Aptos Narrow"/>
        <family val="2"/>
        <scheme val="minor"/>
      </rPr>
      <t xml:space="preserve"> Formulación documental del sistema de monitoreo de desempeño, incluyendo definiciones, método de cálculo, frecuencia y medios de verificación de las variables identificadas.</t>
    </r>
  </si>
  <si>
    <t>1.1.9.2.</t>
  </si>
  <si>
    <t>1.1.9.1.1</t>
  </si>
  <si>
    <t>Tarea: Contratar consultoría Individual para formulación del marco de monitoreo.</t>
  </si>
  <si>
    <t>1.1.9.1.2</t>
  </si>
  <si>
    <t>Tarea: Operativizar la formulación del marco, a través de la consultoría individual contratada</t>
  </si>
  <si>
    <t>1.1.9.1.3</t>
  </si>
  <si>
    <t>Tarea: Difundir y socializar los resultados de la formulación del marco</t>
  </si>
  <si>
    <t>30/05/2026</t>
  </si>
  <si>
    <t>1.1.9.2.1</t>
  </si>
  <si>
    <t>1.1.9.2</t>
  </si>
  <si>
    <r>
      <rPr>
        <b/>
        <sz val="11"/>
        <color theme="1"/>
        <rFont val="Aptos Narrow"/>
        <family val="2"/>
        <scheme val="minor"/>
      </rPr>
      <t xml:space="preserve">Actividad: </t>
    </r>
    <r>
      <rPr>
        <sz val="11"/>
        <color theme="1"/>
        <rFont val="Aptos Narrow"/>
        <family val="2"/>
        <scheme val="minor"/>
      </rPr>
      <t>Desarrollo e implementación de un software especializado para la interoperabilidad de los de datos operativos, comerciales y financieros levantados por las entidades ejecutoras.</t>
    </r>
  </si>
  <si>
    <t>1.1.9.3</t>
  </si>
  <si>
    <t>Tarea: Contratar consultoría para desarrollo e implementación del software</t>
  </si>
  <si>
    <t>1.1.9.2.2</t>
  </si>
  <si>
    <t xml:space="preserve">Tarea: Operativizar las tareas y el flujo necesarios para desarrollo e implementación del software </t>
  </si>
  <si>
    <t>1.1.9.2.3</t>
  </si>
  <si>
    <t>Tarea: Diseño de guías y manuales para uso correcto del software</t>
  </si>
  <si>
    <t>1.1.9.3.1</t>
  </si>
  <si>
    <r>
      <rPr>
        <b/>
        <sz val="11"/>
        <color theme="1"/>
        <rFont val="Aptos Narrow"/>
        <family val="2"/>
        <scheme val="minor"/>
      </rPr>
      <t xml:space="preserve">Actividad: </t>
    </r>
    <r>
      <rPr>
        <sz val="11"/>
        <color theme="1"/>
        <rFont val="Aptos Narrow"/>
        <family val="2"/>
        <scheme val="minor"/>
      </rPr>
      <t>Organización de talleres y capacitaciones para el personal de los prestadores de APS aobre el marco de monitoreo, y  el manejo de herramientas de supervisión y el uso de datos para la toma de decisiones.</t>
    </r>
  </si>
  <si>
    <t>Tarea: Diseñar capacitaciones: metodología, contenido, material de apoyo</t>
  </si>
  <si>
    <t>1.1.9.3.2</t>
  </si>
  <si>
    <t>Tarea: Implementar talleres y capacitaciones: formación, evaluación y reportes.</t>
  </si>
  <si>
    <t>31/03/2027</t>
  </si>
  <si>
    <t>1.1.9.4</t>
  </si>
  <si>
    <r>
      <rPr>
        <b/>
        <sz val="11"/>
        <color theme="1"/>
        <rFont val="Aptos Narrow"/>
        <family val="2"/>
        <scheme val="minor"/>
      </rPr>
      <t>Actividad:</t>
    </r>
    <r>
      <rPr>
        <sz val="11"/>
        <color theme="1"/>
        <rFont val="Aptos Narrow"/>
        <family val="2"/>
        <scheme val="minor"/>
      </rPr>
      <t xml:space="preserve"> Evaluación anual del marco de monitoreo para identificar áreas de mejora y actualizar indicadores o herramientas, según sea necesario.</t>
    </r>
  </si>
  <si>
    <t>1.1.9.4.1</t>
  </si>
  <si>
    <t>Tarea: Diseño de la metodología de evaluación</t>
  </si>
  <si>
    <t>1.1.9.4.2</t>
  </si>
  <si>
    <t>Tarea: Implementación de las herramientas de evaluación</t>
  </si>
  <si>
    <t>1.1.9.4.3</t>
  </si>
  <si>
    <t>Tarea: Sistematización y difusión de hallazgos.</t>
  </si>
  <si>
    <t>1.1.10</t>
  </si>
  <si>
    <t>1.1.10.1</t>
  </si>
  <si>
    <r>
      <rPr>
        <b/>
        <sz val="11"/>
        <color theme="1"/>
        <rFont val="Aptos Narrow"/>
        <family val="2"/>
        <scheme val="minor"/>
      </rPr>
      <t xml:space="preserve">Actividad: </t>
    </r>
    <r>
      <rPr>
        <sz val="11"/>
        <color theme="1"/>
        <rFont val="Aptos Narrow"/>
        <family val="2"/>
        <scheme val="minor"/>
      </rPr>
      <t>Plan de Participacion de Partes Interesadas (PPPI)</t>
    </r>
  </si>
  <si>
    <t xml:space="preserve">INICIO </t>
  </si>
  <si>
    <t>1.1.10.1.1</t>
  </si>
  <si>
    <t>Tarea: Diseñar, desarrollar y divulgar materiales de implementacion</t>
  </si>
  <si>
    <t>1.1.10.1.2</t>
  </si>
  <si>
    <t>Tarea: Consultar y socializar el mecanismo de quejas</t>
  </si>
  <si>
    <t>1.1.10.1.3</t>
  </si>
  <si>
    <t>Tarea: Implementar mecanismo de quejas del proyecto</t>
  </si>
  <si>
    <t>1.1.10.2</t>
  </si>
  <si>
    <r>
      <rPr>
        <b/>
        <sz val="11"/>
        <color theme="1"/>
        <rFont val="Aptos Narrow"/>
        <family val="2"/>
        <scheme val="minor"/>
      </rPr>
      <t xml:space="preserve">Actividad: </t>
    </r>
    <r>
      <rPr>
        <sz val="11"/>
        <color theme="1"/>
        <rFont val="Aptos Narrow"/>
        <family val="2"/>
        <scheme val="minor"/>
      </rPr>
      <t>Plan de Gestion Laboral (PGL)</t>
    </r>
  </si>
  <si>
    <t>1.1.10.2.1</t>
  </si>
  <si>
    <t>Socializar el Código de Ética y Conducta de los Trabajadores</t>
  </si>
  <si>
    <t>1.1.10.2.2</t>
  </si>
  <si>
    <t>Implementar y Monitorear el Mecanismo de Quejas de los Trabajadores.</t>
  </si>
  <si>
    <t>1.1.10.3</t>
  </si>
  <si>
    <r>
      <rPr>
        <b/>
        <sz val="11"/>
        <color theme="1"/>
        <rFont val="Aptos Narrow"/>
        <family val="2"/>
        <scheme val="minor"/>
      </rPr>
      <t>Actividad:</t>
    </r>
    <r>
      <rPr>
        <sz val="11"/>
        <color theme="1"/>
        <rFont val="Aptos Narrow"/>
        <family val="2"/>
        <scheme val="minor"/>
      </rPr>
      <t xml:space="preserve"> Plan de capacitaciones A&amp;S</t>
    </r>
  </si>
  <si>
    <t>1.1.10.4</t>
  </si>
  <si>
    <r>
      <rPr>
        <b/>
        <sz val="11"/>
        <color theme="1"/>
        <rFont val="Aptos Narrow"/>
        <family val="2"/>
        <scheme val="minor"/>
      </rPr>
      <t>Actividad:</t>
    </r>
    <r>
      <rPr>
        <sz val="11"/>
        <color theme="1"/>
        <rFont val="Aptos Narrow"/>
        <family val="2"/>
        <scheme val="minor"/>
      </rPr>
      <t xml:space="preserve"> Plan de Gestion Ambiental y Social (PGAS)</t>
    </r>
  </si>
  <si>
    <t>1.2.</t>
  </si>
  <si>
    <t xml:space="preserve">Componente: Asesorías técnicas y acompañamientos proporcionados a las prestadoras APS </t>
  </si>
  <si>
    <t>1.2.1.1</t>
  </si>
  <si>
    <r>
      <rPr>
        <b/>
        <sz val="11"/>
        <color theme="1"/>
        <rFont val="Aptos Narrow"/>
        <family val="2"/>
        <scheme val="minor"/>
      </rPr>
      <t>Actividad:</t>
    </r>
    <r>
      <rPr>
        <sz val="11"/>
        <color theme="1"/>
        <rFont val="Aptos Narrow"/>
        <family val="2"/>
        <scheme val="minor"/>
      </rPr>
      <t xml:space="preserve"> Diagnosticar las necesidades de capacitación de las prestadoras de servicios APS.</t>
    </r>
  </si>
  <si>
    <t>1.2.1.2</t>
  </si>
  <si>
    <r>
      <rPr>
        <b/>
        <sz val="11"/>
        <color theme="1"/>
        <rFont val="Aptos Narrow"/>
        <family val="2"/>
        <scheme val="minor"/>
      </rPr>
      <t xml:space="preserve">Actividad: </t>
    </r>
    <r>
      <rPr>
        <sz val="11"/>
        <color theme="1"/>
        <rFont val="Aptos Narrow"/>
        <family val="2"/>
        <scheme val="minor"/>
      </rPr>
      <t>Identificar brechas de capacidades técnicas, operativas y de gestión.</t>
    </r>
  </si>
  <si>
    <t>1.2.1.3</t>
  </si>
  <si>
    <r>
      <rPr>
        <b/>
        <sz val="11"/>
        <color theme="1"/>
        <rFont val="Aptos Narrow"/>
        <family val="2"/>
        <scheme val="minor"/>
      </rPr>
      <t>Actividad:</t>
    </r>
    <r>
      <rPr>
        <sz val="11"/>
        <color theme="1"/>
        <rFont val="Aptos Narrow"/>
        <family val="2"/>
        <scheme val="minor"/>
      </rPr>
      <t xml:space="preserve"> Priorizar los temas de formación según las necesidades identificadas y los objetivos del Programa.</t>
    </r>
  </si>
  <si>
    <t>1.2.1.4</t>
  </si>
  <si>
    <r>
      <rPr>
        <b/>
        <sz val="11"/>
        <color theme="1"/>
        <rFont val="Aptos Narrow"/>
        <family val="2"/>
        <scheme val="minor"/>
      </rPr>
      <t>Actividad:</t>
    </r>
    <r>
      <rPr>
        <sz val="11"/>
        <color theme="1"/>
        <rFont val="Aptos Narrow"/>
        <family val="2"/>
        <scheme val="minor"/>
      </rPr>
      <t xml:space="preserve"> Diseñar el plan de formación con objetivos, contenidos, cronograma y metodología.</t>
    </r>
  </si>
  <si>
    <t>1.2.1.5</t>
  </si>
  <si>
    <r>
      <rPr>
        <b/>
        <sz val="11"/>
        <color theme="1"/>
        <rFont val="Aptos Narrow"/>
        <family val="2"/>
        <scheme val="minor"/>
      </rPr>
      <t xml:space="preserve">Actividad: </t>
    </r>
    <r>
      <rPr>
        <sz val="11"/>
        <color theme="1"/>
        <rFont val="Aptos Narrow"/>
        <family val="2"/>
        <scheme val="minor"/>
      </rPr>
      <t>Coordinar con actores clave la validación del plan (prestadoras, INAPA, UGCP, etc.).</t>
    </r>
  </si>
  <si>
    <t>1.2.1.6</t>
  </si>
  <si>
    <r>
      <rPr>
        <b/>
        <sz val="11"/>
        <color theme="1"/>
        <rFont val="Aptos Narrow"/>
        <family val="2"/>
        <scheme val="minor"/>
      </rPr>
      <t xml:space="preserve">Actividad: </t>
    </r>
    <r>
      <rPr>
        <sz val="11"/>
        <color theme="1"/>
        <rFont val="Aptos Narrow"/>
        <family val="2"/>
        <scheme val="minor"/>
      </rPr>
      <t>Presentar el plan de capacitación para su aprobación por las instancias correspondientes.</t>
    </r>
  </si>
  <si>
    <t>1.2.1.8</t>
  </si>
  <si>
    <r>
      <rPr>
        <b/>
        <sz val="11"/>
        <color theme="1"/>
        <rFont val="Aptos Narrow"/>
        <family val="2"/>
        <scheme val="minor"/>
      </rPr>
      <t xml:space="preserve">Actividad: </t>
    </r>
    <r>
      <rPr>
        <sz val="11"/>
        <color theme="1"/>
        <rFont val="Aptos Narrow"/>
        <family val="2"/>
        <scheme val="minor"/>
      </rPr>
      <t>Organizar la logística de las capacitaciones (convocatoria, espacios, materiales, etc.).</t>
    </r>
  </si>
  <si>
    <t>1.2.1.9</t>
  </si>
  <si>
    <r>
      <rPr>
        <b/>
        <sz val="11"/>
        <color theme="1"/>
        <rFont val="Aptos Narrow"/>
        <family val="2"/>
        <scheme val="minor"/>
      </rPr>
      <t xml:space="preserve">Actividad: </t>
    </r>
    <r>
      <rPr>
        <sz val="11"/>
        <color theme="1"/>
        <rFont val="Aptos Narrow"/>
        <family val="2"/>
        <scheme val="minor"/>
      </rPr>
      <t>Ejecutar las sesiones formativas según el cronograma establecido.</t>
    </r>
  </si>
  <si>
    <t>1.2.1.10</t>
  </si>
  <si>
    <r>
      <rPr>
        <b/>
        <sz val="11"/>
        <color theme="1"/>
        <rFont val="Aptos Narrow"/>
        <family val="2"/>
        <scheme val="minor"/>
      </rPr>
      <t xml:space="preserve">Actividad: </t>
    </r>
    <r>
      <rPr>
        <sz val="11"/>
        <color theme="1"/>
        <rFont val="Aptos Narrow"/>
        <family val="2"/>
        <scheme val="minor"/>
      </rPr>
      <t>Registrar la asistencia y recolectar evidencias de las actividades realizadas.</t>
    </r>
  </si>
  <si>
    <t>1.2.1.11</t>
  </si>
  <si>
    <r>
      <rPr>
        <b/>
        <sz val="11"/>
        <color theme="1"/>
        <rFont val="Aptos Narrow"/>
        <family val="2"/>
        <scheme val="minor"/>
      </rPr>
      <t xml:space="preserve">Actividad: </t>
    </r>
    <r>
      <rPr>
        <sz val="11"/>
        <color theme="1"/>
        <rFont val="Aptos Narrow"/>
        <family val="2"/>
        <scheme val="minor"/>
      </rPr>
      <t>Evaluar los resultados de la capacitación mediante encuestas y pruebas.</t>
    </r>
  </si>
  <si>
    <t>1.2.1.12</t>
  </si>
  <si>
    <r>
      <rPr>
        <b/>
        <sz val="11"/>
        <color theme="1"/>
        <rFont val="Aptos Narrow"/>
        <family val="2"/>
        <scheme val="minor"/>
      </rPr>
      <t>Actividad:</t>
    </r>
    <r>
      <rPr>
        <sz val="11"/>
        <color theme="1"/>
        <rFont val="Aptos Narrow"/>
        <family val="2"/>
        <scheme val="minor"/>
      </rPr>
      <t xml:space="preserve"> Ajustar el plan según los resultados y retroalimentación obtenida.</t>
    </r>
  </si>
  <si>
    <t>1.2.1.13</t>
  </si>
  <si>
    <r>
      <rPr>
        <b/>
        <sz val="11"/>
        <color theme="1"/>
        <rFont val="Aptos Narrow"/>
        <family val="2"/>
        <scheme val="minor"/>
      </rPr>
      <t>Actividad:</t>
    </r>
    <r>
      <rPr>
        <sz val="11"/>
        <color theme="1"/>
        <rFont val="Aptos Narrow"/>
        <family val="2"/>
        <scheme val="minor"/>
      </rPr>
      <t xml:space="preserve"> Elaborar el informe final de implementación con resultados y recomendaciones.</t>
    </r>
  </si>
  <si>
    <t xml:space="preserve"> 1.2.2.2.4</t>
  </si>
  <si>
    <t>1.2.2.2.4
1.2.2.2.8</t>
  </si>
  <si>
    <t>1.2.2.1.1
1.2.2.1.2
1.2.2.1.3</t>
  </si>
  <si>
    <t>1.2.3.</t>
  </si>
  <si>
    <t>Producto: Sistema de Gestion Ambiental y Social (SGAS)</t>
  </si>
  <si>
    <t>N/D</t>
  </si>
  <si>
    <t>1.2.3.1</t>
  </si>
  <si>
    <r>
      <rPr>
        <b/>
        <sz val="11"/>
        <color theme="1"/>
        <rFont val="Aptos Narrow"/>
        <family val="2"/>
        <scheme val="minor"/>
      </rPr>
      <t>Actividad:</t>
    </r>
    <r>
      <rPr>
        <sz val="11"/>
        <color theme="1"/>
        <rFont val="Aptos Narrow"/>
        <family val="2"/>
        <scheme val="minor"/>
      </rPr>
      <t xml:space="preserve"> Diseñar un sistema de reporte homologado</t>
    </r>
  </si>
  <si>
    <t>1.2.3.2</t>
  </si>
  <si>
    <r>
      <rPr>
        <b/>
        <sz val="11"/>
        <color theme="1"/>
        <rFont val="Aptos Narrow"/>
        <family val="2"/>
        <scheme val="minor"/>
      </rPr>
      <t>Actividad:</t>
    </r>
    <r>
      <rPr>
        <sz val="11"/>
        <color theme="1"/>
        <rFont val="Aptos Narrow"/>
        <family val="2"/>
        <scheme val="minor"/>
      </rPr>
      <t xml:space="preserve"> Sostener sesiones de intercambio de buenas prácticas</t>
    </r>
  </si>
  <si>
    <t>1.2.3.3</t>
  </si>
  <si>
    <r>
      <rPr>
        <b/>
        <sz val="11"/>
        <color theme="1"/>
        <rFont val="Aptos Narrow"/>
        <family val="2"/>
        <scheme val="minor"/>
      </rPr>
      <t>Actividad:</t>
    </r>
    <r>
      <rPr>
        <sz val="11"/>
        <color theme="1"/>
        <rFont val="Aptos Narrow"/>
        <family val="2"/>
        <scheme val="minor"/>
      </rPr>
      <t xml:space="preserve"> Apoyar en el desarrollo de manuales para la gestión Ambiental y Social</t>
    </r>
  </si>
  <si>
    <t>1.2.3.4</t>
  </si>
  <si>
    <r>
      <rPr>
        <b/>
        <sz val="11"/>
        <color theme="1"/>
        <rFont val="Aptos Narrow"/>
        <family val="2"/>
        <scheme val="minor"/>
      </rPr>
      <t xml:space="preserve">Actividad: </t>
    </r>
    <r>
      <rPr>
        <sz val="11"/>
        <color theme="1"/>
        <rFont val="Aptos Narrow"/>
        <family val="2"/>
        <scheme val="minor"/>
      </rPr>
      <t>Implementar estrategias que promuevan la participación efectiva de los ciudadanos beneficiarios de manera permanente, particularmente en materia de mecanismos de denuncia, priorizando grupos vulnerables.</t>
    </r>
  </si>
  <si>
    <t>1.2.4.1</t>
  </si>
  <si>
    <r>
      <rPr>
        <b/>
        <sz val="11"/>
        <color theme="1"/>
        <rFont val="Aptos Narrow"/>
        <family val="2"/>
        <scheme val="minor"/>
      </rPr>
      <t xml:space="preserve">Actividad: </t>
    </r>
    <r>
      <rPr>
        <sz val="11"/>
        <color theme="1"/>
        <rFont val="Aptos Narrow"/>
        <family val="2"/>
        <scheme val="minor"/>
      </rPr>
      <t>Proponer la creación, modernizacion y eficientizacion de la estructura institucional necesaria correspondiente a la gestión ambiental y social, gestiones de riesgo, seguridad y salud, tanto a lo interno de las instituciones, así como a lo correspondiente a la ejecución de proyectos; asegurando la capacidad para implementar, cumplir, y hacer cumplir las disposiciones legales, reglamentarias, y normativas, con mayor claridad en las competencias.</t>
    </r>
  </si>
  <si>
    <t>1.2.4.1.1</t>
  </si>
  <si>
    <t>Tarea: Diagnostico Institucional y normativo</t>
  </si>
  <si>
    <t>1.2.4.1.2</t>
  </si>
  <si>
    <t>Tarea: Diseño y propuesta de estructura</t>
  </si>
  <si>
    <t>1.2.4.1.3</t>
  </si>
  <si>
    <t>Tarea: Validacion y aprobacion de la propuesta</t>
  </si>
  <si>
    <t>1.2.4.2</t>
  </si>
  <si>
    <r>
      <rPr>
        <b/>
        <sz val="11"/>
        <color theme="1"/>
        <rFont val="Aptos Narrow"/>
        <family val="2"/>
        <scheme val="minor"/>
      </rPr>
      <t xml:space="preserve">Actividad: </t>
    </r>
    <r>
      <rPr>
        <sz val="11"/>
        <color theme="1"/>
        <rFont val="Aptos Narrow"/>
        <family val="2"/>
        <scheme val="minor"/>
      </rPr>
      <t>Recomendar cantidad y perfiles para la dotación de personal ambiental y social calificados en función de las necesidades y de acuerdo con su rol en el programa.</t>
    </r>
  </si>
  <si>
    <t>1.2.4.2.1</t>
  </si>
  <si>
    <t>Tarea: Analisis de necesidades del programa.</t>
  </si>
  <si>
    <t>1.2.4.2.2</t>
  </si>
  <si>
    <t>Tarea: Definicion de roles y funciones.</t>
  </si>
  <si>
    <t>1.2.4.2.3</t>
  </si>
  <si>
    <t>Tarea: Caracterizacion de roles y funciones (elaboracion de perfiles).</t>
  </si>
  <si>
    <t>1.2.4.2.4</t>
  </si>
  <si>
    <t>Tarea: Estimacion de la cantidad de personal requerido.</t>
  </si>
  <si>
    <t>1.2.4.3</t>
  </si>
  <si>
    <r>
      <rPr>
        <b/>
        <sz val="11"/>
        <color theme="1"/>
        <rFont val="Aptos Narrow"/>
        <family val="2"/>
        <scheme val="minor"/>
      </rPr>
      <t xml:space="preserve">Actividad: </t>
    </r>
    <r>
      <rPr>
        <sz val="11"/>
        <color theme="1"/>
        <rFont val="Aptos Narrow"/>
        <family val="2"/>
        <scheme val="minor"/>
      </rPr>
      <t>Reforzar los requerimientos ambientales y sociales en los pliegos de licitación para los contratistas y la supervisión de obras, incluyendo códigos de conducta que establezcan medidas para prevenir el acoso, la explotación y el abuso sexual.</t>
    </r>
  </si>
  <si>
    <t>1.2.4.3.1</t>
  </si>
  <si>
    <t>Tarea: Analizar los pliegos de licitacion actuales y revisar los requisitos legales y normativos nacionales.</t>
  </si>
  <si>
    <t>1.2.4.3.2</t>
  </si>
  <si>
    <t>Tarea: Definir cláusulas ambientales y sociales mínimas obligatorias para contratistas e Incluir requisitos de seguridad y salud ocupacional</t>
  </si>
  <si>
    <t>1.2.4.3.3</t>
  </si>
  <si>
    <t>Tarea: Diseñar formatos y herramientas de cumplimiento</t>
  </si>
  <si>
    <t>1.2.4.3.4</t>
  </si>
  <si>
    <t>Tarea: Socializar la propuesta de requisitos con las áreas legales, de adquisiciones y de gestión ambiental/social de la institución.</t>
  </si>
  <si>
    <t>1.2.5.</t>
  </si>
  <si>
    <t>Producto: Sistema Equal Agua implementadas por las prestadoras</t>
  </si>
  <si>
    <t>1.2.5.1</t>
  </si>
  <si>
    <r>
      <rPr>
        <b/>
        <sz val="11"/>
        <color theme="1"/>
        <rFont val="Aptos Narrow"/>
        <family val="2"/>
        <scheme val="minor"/>
      </rPr>
      <t>Actividad:</t>
    </r>
    <r>
      <rPr>
        <sz val="11"/>
        <color theme="1"/>
        <rFont val="Aptos Narrow"/>
        <family val="2"/>
        <scheme val="minor"/>
      </rPr>
      <t xml:space="preserve"> Promover la participación de las prestadoras en Equal Agua</t>
    </r>
  </si>
  <si>
    <t>1.2.5.1.1</t>
  </si>
  <si>
    <t>Tarea: Implementación de una Mesa de Intercambio de Buenas Prácticas en Materia de Género</t>
  </si>
  <si>
    <t>2</t>
  </si>
  <si>
    <t>Resultado: Incrementadas las capacidades y políticas institucionales de la Gestión de Recursos Hídricos</t>
  </si>
  <si>
    <t>2.1.</t>
  </si>
  <si>
    <t>Componente: Mejoramiento del marco Legal e Institucional</t>
  </si>
  <si>
    <t>2.1.1.1</t>
  </si>
  <si>
    <r>
      <rPr>
        <b/>
        <sz val="11"/>
        <color theme="1"/>
        <rFont val="Aptos Narrow"/>
        <family val="2"/>
        <scheme val="minor"/>
      </rPr>
      <t xml:space="preserve">Actividad: </t>
    </r>
    <r>
      <rPr>
        <sz val="11"/>
        <color theme="1"/>
        <rFont val="Aptos Narrow"/>
        <family val="2"/>
        <scheme val="minor"/>
      </rPr>
      <t>Realizar actividades de fortalecimiento de capacidades individuales, técnicas e institucionales para la institución que funja como Nuevo Rector de las Aguas</t>
    </r>
  </si>
  <si>
    <t>2.1.1.2.</t>
  </si>
  <si>
    <t>2.1.1.2</t>
  </si>
  <si>
    <r>
      <rPr>
        <b/>
        <sz val="11"/>
        <color theme="1"/>
        <rFont val="Aptos Narrow"/>
        <family val="2"/>
        <scheme val="minor"/>
      </rPr>
      <t>Actividad:</t>
    </r>
    <r>
      <rPr>
        <sz val="11"/>
        <color theme="1"/>
        <rFont val="Aptos Narrow"/>
        <family val="2"/>
        <scheme val="minor"/>
      </rPr>
      <t xml:space="preserve"> Formular una propuesta de estructura orgánica para el Nuevo Rector de las Aguas</t>
    </r>
  </si>
  <si>
    <t>2.1.1.1.</t>
  </si>
  <si>
    <t>2.1.1.3.</t>
  </si>
  <si>
    <t>2.1.1.3</t>
  </si>
  <si>
    <r>
      <rPr>
        <b/>
        <sz val="11"/>
        <color theme="1"/>
        <rFont val="Aptos Narrow"/>
        <family val="2"/>
        <scheme val="minor"/>
      </rPr>
      <t>Actividad:</t>
    </r>
    <r>
      <rPr>
        <sz val="11"/>
        <color theme="1"/>
        <rFont val="Aptos Narrow"/>
        <family val="2"/>
        <scheme val="minor"/>
      </rPr>
      <t xml:space="preserve"> Realizar talleres / mesas de socialización con los actores clave del sector</t>
    </r>
  </si>
  <si>
    <t>2.1.2.</t>
  </si>
  <si>
    <t>Producto: Catálogo de buenas prácticas internacionales en gestión de recursos hídricos elaborado y difundido entre instituciones clave vinculadas al sector</t>
  </si>
  <si>
    <t>2.1.2.1</t>
  </si>
  <si>
    <r>
      <rPr>
        <b/>
        <sz val="11"/>
        <color theme="1"/>
        <rFont val="Aptos Narrow"/>
        <family val="2"/>
        <scheme val="minor"/>
      </rPr>
      <t>Actividad:</t>
    </r>
    <r>
      <rPr>
        <sz val="11"/>
        <color theme="1"/>
        <rFont val="Aptos Narrow"/>
        <family val="2"/>
        <scheme val="minor"/>
      </rPr>
      <t xml:space="preserve"> Realizar un Seminario internacional de buenas prácticas internacionales sobre Gestión de Recursos Hídricos.</t>
    </r>
  </si>
  <si>
    <t>2.1.2.2.</t>
  </si>
  <si>
    <t>2.1.2.2</t>
  </si>
  <si>
    <r>
      <rPr>
        <b/>
        <sz val="11"/>
        <color theme="1"/>
        <rFont val="Aptos Narrow"/>
        <family val="2"/>
        <scheme val="minor"/>
      </rPr>
      <t xml:space="preserve">Actividad: </t>
    </r>
    <r>
      <rPr>
        <sz val="11"/>
        <color theme="1"/>
        <rFont val="Aptos Narrow"/>
        <family val="2"/>
        <scheme val="minor"/>
      </rPr>
      <t>Sistematizar la información y experiencias presentadas en el seminario en un producto de conocimiento.</t>
    </r>
  </si>
  <si>
    <t>2.1.2.1.</t>
  </si>
  <si>
    <t>2.1.2.3.</t>
  </si>
  <si>
    <t>2.1.2.3</t>
  </si>
  <si>
    <r>
      <rPr>
        <b/>
        <sz val="11"/>
        <color theme="1"/>
        <rFont val="Aptos Narrow"/>
        <family val="2"/>
        <scheme val="minor"/>
      </rPr>
      <t xml:space="preserve">Actividad: </t>
    </r>
    <r>
      <rPr>
        <sz val="11"/>
        <color theme="1"/>
        <rFont val="Aptos Narrow"/>
        <family val="2"/>
        <scheme val="minor"/>
      </rPr>
      <t>Difundir el catálogo de buenas prácticas entre las instituciones y actores relevantes del sector hídrico.</t>
    </r>
  </si>
  <si>
    <t>Producto: Plan de fortalecimiento de las capacidades (técnicas, humanas, de infraestructura y operativas) del INDRHI implementado para la mejora de la GRH</t>
  </si>
  <si>
    <t>USD/DOP</t>
  </si>
  <si>
    <t>2025-2027</t>
  </si>
  <si>
    <t>Reprogramación Presupuestaria</t>
  </si>
  <si>
    <t>2026-27</t>
  </si>
  <si>
    <t>Sobrante</t>
  </si>
  <si>
    <t>Categoria de Inversión SIFEG - UEPEX (Proyección de Presupuesto)</t>
  </si>
  <si>
    <t>Ejecutado En Periodos Anteriores
(2024-2025)</t>
  </si>
  <si>
    <t>Presupuestado</t>
  </si>
  <si>
    <t>Compromiso</t>
  </si>
  <si>
    <t>Devengado</t>
  </si>
  <si>
    <t>Pago</t>
  </si>
  <si>
    <t>Disponible (DOP)</t>
  </si>
  <si>
    <t>Disponible (USD)</t>
  </si>
  <si>
    <t>Aumento (+)</t>
  </si>
  <si>
    <t>Reducción (-)</t>
  </si>
  <si>
    <t>A.1.1          Rehabilitación de Oficina de la Unidad de Gestión y Coordinación del Proyecto UGCP</t>
  </si>
  <si>
    <t>A.1.1.1</t>
  </si>
  <si>
    <t>Obras menores en edificaciones</t>
  </si>
  <si>
    <t>A.1.2          Equipamiento de Oficina de la Unidad de Gestión y Coordinación del Proyecto UGCP</t>
  </si>
  <si>
    <t>A.1.2.1</t>
  </si>
  <si>
    <t>Equipos de cómputo</t>
  </si>
  <si>
    <t>A.1.2.10</t>
  </si>
  <si>
    <t>A.1.2.11</t>
  </si>
  <si>
    <t>A.1.2.12</t>
  </si>
  <si>
    <t>A.1.2.13</t>
  </si>
  <si>
    <t>A.1.2.14</t>
  </si>
  <si>
    <t>A.1.2.15</t>
  </si>
  <si>
    <t>Muebles de oficina y estantería</t>
  </si>
  <si>
    <t>A.1.2.17</t>
  </si>
  <si>
    <t>A.1.2.18</t>
  </si>
  <si>
    <t>A.1.2.19</t>
  </si>
  <si>
    <t>A.1.2.2</t>
  </si>
  <si>
    <t>A.1.2.21</t>
  </si>
  <si>
    <t>A.1.2.22</t>
  </si>
  <si>
    <t>A.1.2.23</t>
  </si>
  <si>
    <t>A.1.2.24</t>
  </si>
  <si>
    <t>A.1.2.25</t>
  </si>
  <si>
    <t>Equipos de climatización</t>
  </si>
  <si>
    <t>A.1.2.26</t>
  </si>
  <si>
    <t>Adquisición de refrigeradoras, microondas, estufas y equipos de imagen y sonido para la UGCP.</t>
  </si>
  <si>
    <t>A.1.2.27</t>
  </si>
  <si>
    <t>Computadoras de escritorio, ordenadores portátiles, pantallas,impresoras, teclados, escánerc, adaptadores, entre
otros.</t>
  </si>
  <si>
    <t>A.1.2.3</t>
  </si>
  <si>
    <t>A.1.2.4</t>
  </si>
  <si>
    <t>A.1.2.5</t>
  </si>
  <si>
    <t>A.1.2.6</t>
  </si>
  <si>
    <t>A.1.2.7</t>
  </si>
  <si>
    <t>Equipo de comunicación, telecomunicaciones y señalamiento</t>
  </si>
  <si>
    <t>A.1.2.8</t>
  </si>
  <si>
    <t>A.1.2.9</t>
  </si>
  <si>
    <t>A.1.3          Adquisición de Vehículos de motor para la Unidad de Gestión y Coordinación del Proyecto UGCP</t>
  </si>
  <si>
    <t>A.1.3.1</t>
  </si>
  <si>
    <t>Automóviles y camiones</t>
  </si>
  <si>
    <r>
      <rPr>
        <b/>
        <sz val="12"/>
        <rFont val="Aptos Display"/>
        <family val="2"/>
        <scheme val="major"/>
      </rPr>
      <t>A.1.4          Operatividad de la Unidad de Gestión y Coordinación del
Proyecto UGCP</t>
    </r>
  </si>
  <si>
    <t>A.1.4.1</t>
  </si>
  <si>
    <t>A.1.4.10</t>
  </si>
  <si>
    <t>A.1.4.11</t>
  </si>
  <si>
    <t>A.1.4.13</t>
  </si>
  <si>
    <t>Servicios de Capacitación</t>
  </si>
  <si>
    <t>A.1.4.14</t>
  </si>
  <si>
    <t>Productos y útiles diversos</t>
  </si>
  <si>
    <t>A.1.4.15</t>
  </si>
  <si>
    <t>A.1.4.16</t>
  </si>
  <si>
    <t>A.1.4.17</t>
  </si>
  <si>
    <t>Material para limpieza</t>
  </si>
  <si>
    <t>A.1.4.18</t>
  </si>
  <si>
    <t>Servicios de alimentación</t>
  </si>
  <si>
    <t>A.1.4.19</t>
  </si>
  <si>
    <t>Servicios de contabilidad y auditoría</t>
  </si>
  <si>
    <t>A.1.4.2</t>
  </si>
  <si>
    <t>Energía eléctrica</t>
  </si>
  <si>
    <t>A.1.4.20</t>
  </si>
  <si>
    <t>Peaje</t>
  </si>
  <si>
    <t>A.1.4.21</t>
  </si>
  <si>
    <t>Seguro de bienes muebles</t>
  </si>
  <si>
    <t>A.1.4.22</t>
  </si>
  <si>
    <t>A.1.4.23</t>
  </si>
  <si>
    <t>A.1.4.24</t>
  </si>
  <si>
    <t>Mantenimiento y reparación de equipos de transporte, tracción y elevación</t>
  </si>
  <si>
    <t>A.1.4.25</t>
  </si>
  <si>
    <t>A.1.4.26</t>
  </si>
  <si>
    <t>Bonificaciones</t>
  </si>
  <si>
    <t>A.1.4.27</t>
  </si>
  <si>
    <t>A.1.4.28</t>
  </si>
  <si>
    <t>A.1.4.29</t>
  </si>
  <si>
    <t>A.1.4.3</t>
  </si>
  <si>
    <t>Agua</t>
  </si>
  <si>
    <t>A.1.4.30</t>
  </si>
  <si>
    <t>Fumigación, lavandería, limpieza e higiene</t>
  </si>
  <si>
    <t>A.1.4.31</t>
  </si>
  <si>
    <t>Servicios técnicos y profesionales</t>
  </si>
  <si>
    <t>A.1.4.32</t>
  </si>
  <si>
    <t>Pago a personal bajo modalidad de No Consultoría de la UGCP</t>
  </si>
  <si>
    <t>A.1.4.33</t>
  </si>
  <si>
    <t>Combustible para operatividad UGCP</t>
  </si>
  <si>
    <t>A.1.4.34</t>
  </si>
  <si>
    <t>Eventos de la UGCP en el marco del Programa de Modernizacion con misiones del Banco Mundial, Prestadores y otros eventos</t>
  </si>
  <si>
    <t>A.1.4.35</t>
  </si>
  <si>
    <t>Alquiler de impresora multifuncional para uso de la UGCP</t>
  </si>
  <si>
    <t>A.1.4.36</t>
  </si>
  <si>
    <t>A.1.4.37</t>
  </si>
  <si>
    <t>A.1.4.38</t>
  </si>
  <si>
    <t>Accesorios para oficinas UGCP</t>
  </si>
  <si>
    <t>A.1.4.39</t>
  </si>
  <si>
    <t>Productos de artes gràficas para oficina UGCP</t>
  </si>
  <si>
    <t>A.1.4.4</t>
  </si>
  <si>
    <t>Servicio de internet y televisión por cable</t>
  </si>
  <si>
    <t>A.1.4.40</t>
  </si>
  <si>
    <r>
      <rPr>
        <sz val="12"/>
        <rFont val="Aptos Display"/>
        <family val="2"/>
        <scheme val="major"/>
      </rPr>
      <t>Servicios de alimentos y bebidas para personas en el marco
del Programa UGCP</t>
    </r>
  </si>
  <si>
    <t>A.1.4.41</t>
  </si>
  <si>
    <t>Servicios de cateringen el marco del programa de modernización APS</t>
  </si>
  <si>
    <t>A.1.4.5</t>
  </si>
  <si>
    <t>Recolección de residuos sólidos</t>
  </si>
  <si>
    <t>A.1.4.6</t>
  </si>
  <si>
    <t>A.1.4.7</t>
  </si>
  <si>
    <t>Servicios jurídicos</t>
  </si>
  <si>
    <t>A.1.4.8</t>
  </si>
  <si>
    <t>A.1.4.9</t>
  </si>
  <si>
    <t>Hospedaje</t>
  </si>
  <si>
    <r>
      <rPr>
        <b/>
        <sz val="12"/>
        <rFont val="Aptos Display"/>
        <family val="2"/>
        <scheme val="major"/>
      </rPr>
      <t>A.1.5          - Ejercicios de Verificación independiente a logros de resultados (IVD's)correspondientes al ejercicio de las
prestaroda</t>
    </r>
  </si>
  <si>
    <t>A.1.5.1</t>
  </si>
  <si>
    <t>A.1.5.2</t>
  </si>
  <si>
    <t>A.1.5.3</t>
  </si>
  <si>
    <t>Estudios de ingeniería, arquitectura, investigaciones y análisis de factibilidad</t>
  </si>
  <si>
    <t>A.1.5.4</t>
  </si>
  <si>
    <t>Verificación de resultados anuales de las Prestadoras</t>
  </si>
  <si>
    <t>A.1.6          Ejercicios de Auditorias externas anuales (Financieras) para componente IPF (MEPyD e INDRHI)</t>
  </si>
  <si>
    <t>A.1.6.1</t>
  </si>
  <si>
    <t>A.1.6.2</t>
  </si>
  <si>
    <t>A.1.6.3</t>
  </si>
  <si>
    <t>A.1.7          Ejercicios de Auditorias externas anuales (Financieras) para componente Programa por Resultado (PporR)</t>
  </si>
  <si>
    <t>A.1.7.1</t>
  </si>
  <si>
    <t>A.1.7.2</t>
  </si>
  <si>
    <t>A.1.7.3</t>
  </si>
  <si>
    <t>A.1.8          Actos de lanzamiento, Presentación de Resultados Anuales y Clausura del Programa de Modernización Sector APS en Santo Do</t>
  </si>
  <si>
    <t>A.1.8.1</t>
  </si>
  <si>
    <t>A.1.8.2</t>
  </si>
  <si>
    <t>A.1.8.3</t>
  </si>
  <si>
    <t>A.1.8.4</t>
  </si>
  <si>
    <t>A.1.8.5</t>
  </si>
  <si>
    <t>A.1.8.6</t>
  </si>
  <si>
    <r>
      <rPr>
        <sz val="12"/>
        <rFont val="Aptos Display"/>
        <family val="2"/>
        <scheme val="major"/>
      </rPr>
      <t>Eventos de la UGCP en el marco del Programa de Modernizacion con misiones del Banco Mundial, Prestadores y
otros eventos</t>
    </r>
  </si>
  <si>
    <r>
      <rPr>
        <b/>
        <sz val="12"/>
        <rFont val="Aptos Display"/>
        <family val="2"/>
        <scheme val="major"/>
      </rPr>
      <t>B.1.1          Asesoría en Eficiencia Energética para los prestadores de
APS</t>
    </r>
  </si>
  <si>
    <t>B.1.1.1</t>
  </si>
  <si>
    <t>B.1.1.10</t>
  </si>
  <si>
    <t>Eventos de Capacitación (para Prestadores APS y Rectores involucrados) y presentación de resultados</t>
  </si>
  <si>
    <t>B.1.1.11</t>
  </si>
  <si>
    <t>Consultor Sr en eficiencia energética</t>
  </si>
  <si>
    <t>B.1.1.2</t>
  </si>
  <si>
    <t>B.1.1.3</t>
  </si>
  <si>
    <t>Sueldos al personal contratado e igualado</t>
  </si>
  <si>
    <t>B.1.1.4</t>
  </si>
  <si>
    <t>B.1.1.5</t>
  </si>
  <si>
    <t>B.1.1.6</t>
  </si>
  <si>
    <t>B.1.1.7</t>
  </si>
  <si>
    <t>B.1.1.8</t>
  </si>
  <si>
    <t>B.1.1.9</t>
  </si>
  <si>
    <t>B1.1.12.</t>
  </si>
  <si>
    <t>B.1.2          Asistencia Técnica para mejorar la resiliencia de
prestación de servicios de APS (Entrenamientos para mejorar en temas ambientales, sociales y de inclusión)</t>
  </si>
  <si>
    <t>B.1.2.1</t>
  </si>
  <si>
    <t>B.1.2.2</t>
  </si>
  <si>
    <t>B.1.2.3</t>
  </si>
  <si>
    <t>B.1.2.4</t>
  </si>
  <si>
    <t>Consultoría para para participación ciudadana en los servicios de APS</t>
  </si>
  <si>
    <t>B.1.2.5</t>
  </si>
  <si>
    <t>B.1.2.6</t>
  </si>
  <si>
    <t>Capacitación para Prestadores APS y Rectores involucrados</t>
  </si>
  <si>
    <t>B.1.2.7</t>
  </si>
  <si>
    <r>
      <rPr>
        <b/>
        <sz val="12"/>
        <rFont val="Aptos Display"/>
        <family val="2"/>
        <scheme val="major"/>
      </rPr>
      <t>B.1.3          Asistencias Técnicas para la Modernización de las
Empresas Públicas Prestadoras de servicios de APS y Rectoras vinculada</t>
    </r>
  </si>
  <si>
    <t>B.1.3.1</t>
  </si>
  <si>
    <t>B.1.3.10</t>
  </si>
  <si>
    <t>Becas nacionales</t>
  </si>
  <si>
    <t>B.1.3.11</t>
  </si>
  <si>
    <t>B.1.3.12</t>
  </si>
  <si>
    <t>B.1.3.13</t>
  </si>
  <si>
    <t>B.1.3.2</t>
  </si>
  <si>
    <t>B.1.3.3</t>
  </si>
  <si>
    <t>B.1.3.4</t>
  </si>
  <si>
    <t>B.1.3.5</t>
  </si>
  <si>
    <t>B.1.3.6</t>
  </si>
  <si>
    <t>B.1.3.7</t>
  </si>
  <si>
    <t>B.1.3.8</t>
  </si>
  <si>
    <t>B.1.3.9</t>
  </si>
  <si>
    <r>
      <rPr>
        <b/>
        <sz val="12"/>
        <rFont val="Aptos Display"/>
        <family val="2"/>
        <scheme val="major"/>
      </rPr>
      <t>B.1.4          Asistencia Técnica para Agua Potable no Contabilizada y
aspectos Comerciales (Mejores Practicas)</t>
    </r>
  </si>
  <si>
    <t>B.1.4.1</t>
  </si>
  <si>
    <t>B.1.4.10</t>
  </si>
  <si>
    <t>B.1.4.11</t>
  </si>
  <si>
    <t>B.1.4.12</t>
  </si>
  <si>
    <t>Consultor Sr. Y Jr. en eficiente operación de servicios de agua potable</t>
  </si>
  <si>
    <t>B.1.4.2</t>
  </si>
  <si>
    <t>B.1.4.3</t>
  </si>
  <si>
    <t>B.1.4.4</t>
  </si>
  <si>
    <t>B.1.4.5</t>
  </si>
  <si>
    <t>B.1.4.7</t>
  </si>
  <si>
    <t>B.1.4.8</t>
  </si>
  <si>
    <t>B.1.4.9</t>
  </si>
  <si>
    <t>B.1.5          Entrenamiento en tecnologías costo efectiva para tratamiento de aguas residuales para operadores APS</t>
  </si>
  <si>
    <t>B.1.5.1</t>
  </si>
  <si>
    <t>B.1.5.10</t>
  </si>
  <si>
    <t>B.1.5.11</t>
  </si>
  <si>
    <t>B.1.5.2</t>
  </si>
  <si>
    <t>B.1.5.3</t>
  </si>
  <si>
    <t>B.1.5.4</t>
  </si>
  <si>
    <t>B.1.5.7</t>
  </si>
  <si>
    <t>B.1.5.8</t>
  </si>
  <si>
    <t>B.1.5.9</t>
  </si>
  <si>
    <t>B.1.6          Fortalecimiento de las recaudaciones de las empresas APS por mejoras tarifarias</t>
  </si>
  <si>
    <t>B.1.6.1</t>
  </si>
  <si>
    <t>B.1.6.10</t>
  </si>
  <si>
    <t>B.1.6.11</t>
  </si>
  <si>
    <t>B.1.6.12</t>
  </si>
  <si>
    <t>B.1.6.2</t>
  </si>
  <si>
    <t>Servicios Jurídicos</t>
  </si>
  <si>
    <t>B.1.6.3</t>
  </si>
  <si>
    <t>B.1.6.4</t>
  </si>
  <si>
    <t>B.1.6.5</t>
  </si>
  <si>
    <t>Impresión y Encuadernación</t>
  </si>
  <si>
    <t>B.1.6.6</t>
  </si>
  <si>
    <t>B.1.6.7</t>
  </si>
  <si>
    <t>B.1.6.8</t>
  </si>
  <si>
    <t>B.1.6.9</t>
  </si>
  <si>
    <t>B.1.7          Fortalecimiento del Sistema de Información de la Gestión Financiera (SIGEF)</t>
  </si>
  <si>
    <t>B.1.7.1</t>
  </si>
  <si>
    <t>B.1.7.10</t>
  </si>
  <si>
    <t>B.1.7.11</t>
  </si>
  <si>
    <t>B.1.7.12</t>
  </si>
  <si>
    <t>B.1.7.2</t>
  </si>
  <si>
    <t>B.1.7.3</t>
  </si>
  <si>
    <t>B.1.7.4</t>
  </si>
  <si>
    <t>B.1.7.5</t>
  </si>
  <si>
    <t>B.1.7.6</t>
  </si>
  <si>
    <t>B.1.7.7</t>
  </si>
  <si>
    <t>B.1.7.8</t>
  </si>
  <si>
    <t>B.1.7.9</t>
  </si>
  <si>
    <t>B.1.8          Fortalecimiento del Sistema Nacional de Inversión Pública (SNIP)</t>
  </si>
  <si>
    <t>B.1.8.1</t>
  </si>
  <si>
    <t>B.1.8.10</t>
  </si>
  <si>
    <t>B.1.8.11</t>
  </si>
  <si>
    <t>B.1.8.12</t>
  </si>
  <si>
    <t>B.1.8.13</t>
  </si>
  <si>
    <t>B.1.8.2</t>
  </si>
  <si>
    <t>B.1.8.3</t>
  </si>
  <si>
    <t>B.1.8.4</t>
  </si>
  <si>
    <t>B.1.8.5</t>
  </si>
  <si>
    <t>B.1.8.6</t>
  </si>
  <si>
    <t>B.1.8.7</t>
  </si>
  <si>
    <t>B.1.8.8</t>
  </si>
  <si>
    <t>B.1.8.9</t>
  </si>
  <si>
    <t>C.1.1          Fortalecimiento del Marco Legal e Institucional de la Rectoría de los Recursos Hídricos</t>
  </si>
  <si>
    <t>C.1.1.1</t>
  </si>
  <si>
    <t>C.1.1.10</t>
  </si>
  <si>
    <t>C.1.1.11</t>
  </si>
  <si>
    <t>C.1.1.12</t>
  </si>
  <si>
    <t>C.1.1.13</t>
  </si>
  <si>
    <t>Licencias Informáticas</t>
  </si>
  <si>
    <t>C.1.1.14</t>
  </si>
  <si>
    <t>C.1.1.15</t>
  </si>
  <si>
    <t>C.1.1.16</t>
  </si>
  <si>
    <t>C.1.1.17</t>
  </si>
  <si>
    <t>C.1.1.18</t>
  </si>
  <si>
    <t>C.1.1.19</t>
  </si>
  <si>
    <t>C.1.1.2</t>
  </si>
  <si>
    <t>C1.1.20.</t>
  </si>
  <si>
    <t>Obras menores</t>
  </si>
  <si>
    <t>C.1.1.3</t>
  </si>
  <si>
    <t>C.1.1.4</t>
  </si>
  <si>
    <t>C.1.1.5</t>
  </si>
  <si>
    <t>C.1.1.6</t>
  </si>
  <si>
    <t>C.1.1.7</t>
  </si>
  <si>
    <t>C.1.1.8</t>
  </si>
  <si>
    <t>C.1.1.9</t>
  </si>
  <si>
    <t>Leyenda</t>
  </si>
  <si>
    <t>Actividad Presupuestaria creada</t>
  </si>
  <si>
    <t>Actividad Presupuestaria eliminada</t>
  </si>
  <si>
    <t>No.</t>
  </si>
  <si>
    <t>Bien / Servicio</t>
  </si>
  <si>
    <t>Tipo de Adquisición</t>
  </si>
  <si>
    <t>Área Requiriente</t>
  </si>
  <si>
    <t>Paquete de Trabajo (Producto/Actividad/Tarea)</t>
  </si>
  <si>
    <t>Costo Total</t>
  </si>
  <si>
    <t>Observación</t>
  </si>
  <si>
    <t xml:space="preserve">DO-MEPYD-443281-GO-RFQ </t>
  </si>
  <si>
    <t>Bien</t>
  </si>
  <si>
    <t>Adquisiciones</t>
  </si>
  <si>
    <t xml:space="preserve">DO-MEPYD-494063-GO-RFQ </t>
  </si>
  <si>
    <t>Equipos informáticos y tecnológicos para la UGCP</t>
  </si>
  <si>
    <t xml:space="preserve">DO-MEPYD-519245-GO-RFQ </t>
  </si>
  <si>
    <t>1.2.6. Fortalecimiento del Sistema de Información de la Gestión Financiera (SIGEF)</t>
  </si>
  <si>
    <t xml:space="preserve">DO-MEPYD-502882-CS-INDV </t>
  </si>
  <si>
    <t>Especialista de Infraestructura APS</t>
  </si>
  <si>
    <t>Servicio de Consultoria</t>
  </si>
  <si>
    <t xml:space="preserve">DO-MEPYD-503943-CS-INDV </t>
  </si>
  <si>
    <t>Consultoría diagnóstico necesidades áreas de compras de las Prestadoras</t>
  </si>
  <si>
    <t xml:space="preserve">DO-MEPYD-519477-CS-QCBS </t>
  </si>
  <si>
    <t>Contratación Agencia Verificadora Independiente para Evaluación Años 2026 y 2027</t>
  </si>
  <si>
    <t xml:space="preserve">DO-MEPYD-519479-CS-LCS </t>
  </si>
  <si>
    <t xml:space="preserve">DO-MEPYD-519471-CS-CQS </t>
  </si>
  <si>
    <t>Agua no Facturada</t>
  </si>
  <si>
    <t xml:space="preserve">DO-MEPYD-519784-CS-CQS </t>
  </si>
  <si>
    <t>Diseño de un Marco Técnico y Herramienta para Priorización de Inversiones Resilientes</t>
  </si>
  <si>
    <t>Ambiental</t>
  </si>
  <si>
    <t xml:space="preserve">DO-MEPYD-519788-CS-CQS </t>
  </si>
  <si>
    <t>Guía metodológica para evaluación de riesgos ambientales y climáticos en proyectos APS</t>
  </si>
  <si>
    <t xml:space="preserve">DO-MEPYD-519791-CS-CQS </t>
  </si>
  <si>
    <t xml:space="preserve">DO-MEPYD-519792-CS-CQS </t>
  </si>
  <si>
    <t xml:space="preserve">DO-MEPYD-522530-CS-LCS </t>
  </si>
  <si>
    <t>Ambiental &amp; Social</t>
  </si>
  <si>
    <t xml:space="preserve">DO-MEPYD-519767-CS-CQS </t>
  </si>
  <si>
    <t>Coordinación</t>
  </si>
  <si>
    <t xml:space="preserve">DO-MEPYD-519768-CS-CQS </t>
  </si>
  <si>
    <t xml:space="preserve">DO-MEPYD-519769-CS-CQS </t>
  </si>
  <si>
    <t xml:space="preserve">DO-MEPYD-519771-CS-CQS </t>
  </si>
  <si>
    <t>Formulación de la Estrategia para la Modernización de las entidades Sector APS en República Dominicana</t>
  </si>
  <si>
    <t xml:space="preserve">DO-MEPYD-522534-CS-LCS </t>
  </si>
  <si>
    <t>Eficiencia Energética</t>
  </si>
  <si>
    <t xml:space="preserve">DO-MEPYD-482312-CS-QCBS </t>
  </si>
  <si>
    <t>Contratación de Servicio para Diseño y Desarrollo de Software y Sistemas de TICs.</t>
  </si>
  <si>
    <t>Monitoreo</t>
  </si>
  <si>
    <t xml:space="preserve">DO-MEPYD-519803-CS-CQS </t>
  </si>
  <si>
    <t>DO-MEPYD-522049-CS-INDV</t>
  </si>
  <si>
    <t xml:space="preserve">DO-MEPYD-519779-CS-CQS </t>
  </si>
  <si>
    <t>Operaciones APS</t>
  </si>
  <si>
    <t xml:space="preserve">DO-MEPYD-521885-CS-LCS </t>
  </si>
  <si>
    <t xml:space="preserve">DO-MEPYD-522531-CS-LCS </t>
  </si>
  <si>
    <t xml:space="preserve">DO-MEPYD-522533-CS-LCS </t>
  </si>
  <si>
    <t xml:space="preserve">DO-MEPYD-482304-CS-CQS </t>
  </si>
  <si>
    <t>Planificación</t>
  </si>
  <si>
    <t xml:space="preserve">DO-MEPYD-482305-CS-CQS </t>
  </si>
  <si>
    <t xml:space="preserve">DO-MEPYD-500013-CS-CQS </t>
  </si>
  <si>
    <t>Consultoría para la Asistencia Técnica de Apoyo a la Formulación de Proyectos de Inversión Pública a Prestadores APS.</t>
  </si>
  <si>
    <t xml:space="preserve">DO-MEPYD-519474-CS-CQS </t>
  </si>
  <si>
    <t xml:space="preserve">DO-MEPYD-519655-CS-INDV </t>
  </si>
  <si>
    <t xml:space="preserve">DO-MEPYD-519659-CS-CQS </t>
  </si>
  <si>
    <t>DO-MEPYD-521678-CS-LCS</t>
  </si>
  <si>
    <t xml:space="preserve">DO-MEPYD-522529-CS-LCS </t>
  </si>
  <si>
    <t xml:space="preserve">DO-MEPYD-503944-CS-INDV </t>
  </si>
  <si>
    <t>Social</t>
  </si>
  <si>
    <t xml:space="preserve">DO-MEPYD-519810-NC-RFQ </t>
  </si>
  <si>
    <t>Servicio de No Consultoria</t>
  </si>
  <si>
    <t xml:space="preserve">DO-MEPYD-519646-NC-RFQ </t>
  </si>
  <si>
    <t xml:space="preserve">DO-MEPYD-519455-NC-RFQ </t>
  </si>
  <si>
    <t>Jornada de cierre de planificación y validación de instrumentos de gestión del Programa IPF-MEPyD e IPF-INDRHI</t>
  </si>
  <si>
    <t xml:space="preserve">DO-MEPYD-519647-NC-RFQ </t>
  </si>
  <si>
    <t xml:space="preserve">DO-MEPYD-519775-NC-RFQ </t>
  </si>
  <si>
    <t xml:space="preserve">DO-MEPYD-519644-NC-RFQ </t>
  </si>
  <si>
    <t>DO-MEPYD-521899-NC-RFB</t>
  </si>
  <si>
    <t xml:space="preserve">DO-MEPYD-519642-NC-RFQ </t>
  </si>
  <si>
    <t>Financiera</t>
  </si>
  <si>
    <t xml:space="preserve">DO-MEPYD-519807-NC-RFQ </t>
  </si>
  <si>
    <t>Foro nacional: Transformación digital del sector agua y saneamiento</t>
  </si>
  <si>
    <t>DO-MEPyD-522090-NC-RFQ</t>
  </si>
  <si>
    <t xml:space="preserve">DO-MEPYD-519627-NC-RFQ </t>
  </si>
  <si>
    <t xml:space="preserve">DO-MEPYD-519633-NC-RFQ </t>
  </si>
  <si>
    <t xml:space="preserve">DO-MEPYD-519638-NC-RFQ </t>
  </si>
  <si>
    <t xml:space="preserve">DO-MEPYD-519643-NC-RFQ </t>
  </si>
  <si>
    <t>Taller de Capacitación Técnica para Operadores</t>
  </si>
  <si>
    <t>DO-MEPyD-521926-NC-RFQ</t>
  </si>
  <si>
    <t xml:space="preserve">DO-MEPYD-519621-NC-RFQ </t>
  </si>
  <si>
    <t>DO-MEPYD-521682-NC-RFB</t>
  </si>
  <si>
    <t>DO-MEPYD-521683-NC-DIR</t>
  </si>
  <si>
    <t>CCP</t>
  </si>
  <si>
    <t>Descripción CCP</t>
  </si>
  <si>
    <t>2.2.5.3.04</t>
  </si>
  <si>
    <t>2.2.8.6.01</t>
  </si>
  <si>
    <t>2.6.2.1.01</t>
  </si>
  <si>
    <t>2.3.7.1.02</t>
  </si>
  <si>
    <t>2.3.7.1.01</t>
  </si>
  <si>
    <t>2.2.2.2.01</t>
  </si>
  <si>
    <t>2.3.5.3.01</t>
  </si>
  <si>
    <t>2.2.7.2.06</t>
  </si>
  <si>
    <t>2.6.5.8.01</t>
  </si>
  <si>
    <t>2.2.4.1.01</t>
  </si>
  <si>
    <t>2.2.4.4.01</t>
  </si>
  <si>
    <t>2.3.2.3.01</t>
  </si>
  <si>
    <t>2.2.2.1.03</t>
  </si>
  <si>
    <t>2.2.2.1.01</t>
  </si>
  <si>
    <t>2.2.9.2.03</t>
  </si>
  <si>
    <t>2.2.8.7.04</t>
  </si>
  <si>
    <t>2.3.9.2.01</t>
  </si>
  <si>
    <t>2.2.3.1.01</t>
  </si>
  <si>
    <t>2.2.3.2.01</t>
  </si>
  <si>
    <t>Código STEP</t>
  </si>
  <si>
    <t>Descripción</t>
  </si>
  <si>
    <t>Pago por Cargo Ciclo en USD</t>
  </si>
  <si>
    <t>Componente 1</t>
  </si>
  <si>
    <t xml:space="preserve">DO-MEPYD-410082-CS-INDV </t>
  </si>
  <si>
    <t>Coordinador del UCGP</t>
  </si>
  <si>
    <t xml:space="preserve">DO-MEPYD-478685-CS-INDV </t>
  </si>
  <si>
    <t>Especialista de Gestión Financiera UGCP</t>
  </si>
  <si>
    <t xml:space="preserve">DO-MEPYD-410076-CS-INDV </t>
  </si>
  <si>
    <t>Especialista de Planificación y Presupuesto</t>
  </si>
  <si>
    <t xml:space="preserve">DO-MEPYD-451993-CS-CDS </t>
  </si>
  <si>
    <t>Especialista Senior en Adquisiciones</t>
  </si>
  <si>
    <t xml:space="preserve">DO-MEPYD-411119-CS-INDV </t>
  </si>
  <si>
    <t>Especialista de Monitoreo y Evaluación</t>
  </si>
  <si>
    <t xml:space="preserve">DO-MEPYD-411112-CS-INDV </t>
  </si>
  <si>
    <t>Especialista Ambiental</t>
  </si>
  <si>
    <t xml:space="preserve">DO-MEPYD-411113-CS-INDV </t>
  </si>
  <si>
    <t>Especialista Social</t>
  </si>
  <si>
    <t xml:space="preserve">DO-MEPYD-441377-CS-CDS </t>
  </si>
  <si>
    <t>Especialista Junior en Planificación y Monitoreo</t>
  </si>
  <si>
    <t xml:space="preserve">DO-MEPYD-410073-CS-INDV </t>
  </si>
  <si>
    <t>Contador</t>
  </si>
  <si>
    <t xml:space="preserve">DO-MEPYD-411120-CS-INDV </t>
  </si>
  <si>
    <t>Analista de Adquisiciones</t>
  </si>
  <si>
    <t xml:space="preserve">DO-MEPYD-411115-CS-INDV </t>
  </si>
  <si>
    <t>Asistente administrativo(a)</t>
  </si>
  <si>
    <t xml:space="preserve">DO-MEPYD-411116-CS-INDV </t>
  </si>
  <si>
    <t>Secretaria(o) ejecutiva(o)</t>
  </si>
  <si>
    <t xml:space="preserve">DO-MEPYD-411114-CS-INDV </t>
  </si>
  <si>
    <t>Chofer</t>
  </si>
  <si>
    <t>Sub-Total</t>
  </si>
  <si>
    <t>Componente 2</t>
  </si>
  <si>
    <t xml:space="preserve">DO-MEPYD-411099-CS-INDV </t>
  </si>
  <si>
    <t>Consultor Sénior en eficiencia energética</t>
  </si>
  <si>
    <t xml:space="preserve">DO-MEPYD-410077-CS-INDV </t>
  </si>
  <si>
    <t>Consultor Júnior en eficiencia energética</t>
  </si>
  <si>
    <t xml:space="preserve">DO-MEPYD-480000-CS-INDV </t>
  </si>
  <si>
    <t>Consultor Sénior en Agua no Facturada</t>
  </si>
  <si>
    <t xml:space="preserve">DO-MEPYD-480007-CS-INDV </t>
  </si>
  <si>
    <t>Consultor Júnior en Agua no Facturada</t>
  </si>
  <si>
    <t xml:space="preserve">DO-MEPYD-411118-CS-INDV </t>
  </si>
  <si>
    <t>Especialista Sénior de Operaciones de APS</t>
  </si>
  <si>
    <t>Especialista Senior en Infraestructura APS</t>
  </si>
  <si>
    <t>Componente 3</t>
  </si>
  <si>
    <t xml:space="preserve">DO-MEPYD-411109-CS-INDV </t>
  </si>
  <si>
    <t>Especialista de Gestión de Recursos Hídricos</t>
  </si>
  <si>
    <t>Total</t>
  </si>
  <si>
    <t>Total Trimestre</t>
  </si>
  <si>
    <t>Total Semestre</t>
  </si>
  <si>
    <t>Total Año</t>
  </si>
  <si>
    <t>Total Ciclo</t>
  </si>
  <si>
    <t>Montos</t>
  </si>
  <si>
    <t>(1.1.1.)(A.1.4.31.) Consultoría para la elaboración e implementación inicial del Plan de Gestión de Riesgos (PGR) del Programa</t>
  </si>
  <si>
    <t>(1.1.1.)(A.1.4.34.) Jornada de cierre de planificación y validación de instrumentos de gestión del Programa IPF-MEPyD e IPF-INDRHI</t>
  </si>
  <si>
    <t>(1.1.7.)(A.1.6.3.) Auditoría Externa Financiera para Años 2026 y 2027 del IPF y P4R del Programa</t>
  </si>
  <si>
    <t>(1.1.7.)(A.1.6.3.) Auditoría Externa Financiera para Años 2023, 2024 y 2025 del IPF y P4R del Programa</t>
  </si>
  <si>
    <t xml:space="preserve">(1.1.8.7.)(A.1.5.3.) Contratación Agencia Verificadora Independiente para Evaluación Años 2026 y 2027 </t>
  </si>
  <si>
    <t xml:space="preserve">(1.1.8.7.)(A.1.5.3.) Contratación Agencia Verificadora Independiente para Evaluación Años 2023, 2024 y 2025 </t>
  </si>
  <si>
    <t>(1.1.8.8.)(A.1.4.31.) Consultoría para apoyo en la evaluación de medio término del Proyecto IPF</t>
  </si>
  <si>
    <t>(1.1.9.)(A.1.4.31.) Contratación de Servicio para Diseño y Desarrollo de Software y Sistemas de TICs</t>
  </si>
  <si>
    <t>(1.1.9.)(A.1.4.31.) Diseño de un Observatorio Nacional del Agua y Saneamiento</t>
  </si>
  <si>
    <t>(1.1.9.)(A.1.4.31.) Contratación de firma consultora para diseño y facilitación de Taller Nacional sobre Gestión Basada en Resultados en empresas públicas de APS</t>
  </si>
  <si>
    <t>(1.1.10.1.)(B.1.2.4) Consultoría para participación ciudadana en los servicios de APS</t>
  </si>
  <si>
    <t>(1.1.11.)(A.1.2.16.) Compra de mobiliario para oficinas de UGCP</t>
  </si>
  <si>
    <t>(1.1.11.)(A.1.2.20.) Prendas de vestir</t>
  </si>
  <si>
    <t>(1.1.11.)(A.1.2.3.) Equipos y aparatos audiovisuales</t>
  </si>
  <si>
    <t>(1.1.11.)(A.1.2.6.) Otros equipos</t>
  </si>
  <si>
    <t>(1.1.11.)(A.1.4.10.) Viáticos fuera del país</t>
  </si>
  <si>
    <t>(1.1.11.)(A.1.4.11.) Publicidad y propaganda</t>
  </si>
  <si>
    <t>(1.1.11.)(A.1.4.13.) Servicios de capacitación</t>
  </si>
  <si>
    <t>(1.1.11.)(A.1.4.15.) Útiles de escritorio, oficina informática y de enseñanza</t>
  </si>
  <si>
    <t>(1.1.11.)(A.1.4.18.) Serivicios de catering</t>
  </si>
  <si>
    <t xml:space="preserve">(1.1.11.)(A.1.4.20.) Peaje </t>
  </si>
  <si>
    <t>(1.1.11.)(A.1.4.22.) Otras contrataciones de servicios</t>
  </si>
  <si>
    <t>(1.1.11.)(A.1.4.23.) Otros equipos</t>
  </si>
  <si>
    <t>(1.1.11.)(A.1.4.24.) Mantenimiento y reparación de equipos transporte, tracción y elevación</t>
  </si>
  <si>
    <t>(1.1.11.)(A.1.4.25.) Llantas y neumáticos</t>
  </si>
  <si>
    <t>(1.1.11.)(A.1.4.27.) Gasoil</t>
  </si>
  <si>
    <t>(1.1.11.)(A.1.4.28.) Viáticos dentro del país</t>
  </si>
  <si>
    <t>(1.1.11.)(A.1.4.31.) Especialista de Infraestructura APS</t>
  </si>
  <si>
    <t xml:space="preserve">(1.1.11.)(A.1.4.31.) Servicios técnicos y profesionales </t>
  </si>
  <si>
    <t>(1.1.11.)(A.1.4.31.) Servicios de no consultorías de la UGCP</t>
  </si>
  <si>
    <t>(1.1.11.)(A.1.4.33.) Gasolina</t>
  </si>
  <si>
    <t>(1.1.11.)(A.1.4.36.) Alquiler de impresor multifuncional para uso de la UGCP</t>
  </si>
  <si>
    <t>(1.1.11.)(A.1.4.37.) Impresión, encuadernación y rotulación</t>
  </si>
  <si>
    <t>(1.1.11.)(A.1.4.38.) Accesorios para oficinas UGCP</t>
  </si>
  <si>
    <t>(1.1.11.)(A.1.4.39.) Productos de artes gráficas para oficina UGCP</t>
  </si>
  <si>
    <t>(1.1.11.)(A.1.4.6.) Publicaciones de avisos oficiales</t>
  </si>
  <si>
    <t>(1.1.11.)(A.1.4.8.) Pasajes y gastos de transporte</t>
  </si>
  <si>
    <t xml:space="preserve">(1.1.11.)(A.1.4.9.) Hospedaje </t>
  </si>
  <si>
    <t>(1.1.11.)(A.1.8.1.) Alquiler de equipo de oficina y muebles</t>
  </si>
  <si>
    <t>(1.1.11.)(A.1.8.2.) Alquiler de equipo de tecnología y almacenamiento de datos</t>
  </si>
  <si>
    <t>(1.1.11.)(A.1.8.3.) Servicios de catering</t>
  </si>
  <si>
    <t>(1.1.11.)(B.1.2.3.) Consultor en comunicaciones</t>
  </si>
  <si>
    <t>(1.1.11.)(A.1.8.4.) Útiles de escritorio, oficina, informática y enseñanza</t>
  </si>
  <si>
    <t>(1.1.11.)(A.1.8.5.) Alquileres y rentas de edificios y locales</t>
  </si>
  <si>
    <t>(1.1.11.)(A.1.8.6.) Eventos de la UGCP en el marco del Programa de Mondernización con misiones del BM</t>
  </si>
  <si>
    <t>(1.2.1.)(B.1.3.4.) Curso de Gestión Organizacional para Prestadoras APS</t>
  </si>
  <si>
    <t>(1.2.1.) (B.1.3.4.) Capacitación en Liderazgo, comunicación efectiva y gestión de equipos</t>
  </si>
  <si>
    <t>(1.2.1.)(B.1.1.5.) Contratación de una Capacitación para la Certificación ISO 50001 en Gestión Energética</t>
  </si>
  <si>
    <t>(1.2.1.)(B.1.1.5.) Diplomado en Eficiencia Energética para Equipos Electromecánicos de Prestadoras APS</t>
  </si>
  <si>
    <t>(1.2.1.)(B.1.3.4.) Diplomado en Finanzas Públicas</t>
  </si>
  <si>
    <t>(1.2.1.)(B1.3.13.) Foro Nacional: Transformación digital del sector agua potable y saneamiento</t>
  </si>
  <si>
    <t>(1.2.1.)(B.1.3.4.) Contratación de un Diplomado en Gestión Integral del Agua Potable</t>
  </si>
  <si>
    <t>(1.2.1.)(B.1.5.5.) Diplomado en Gestión de Aguas Residuales</t>
  </si>
  <si>
    <t>(1.2.1.)(B.1.6.6.) Taller práctico de Gestión Comercial</t>
  </si>
  <si>
    <t>(1.2.1.)(B.1.3.4.) Taller de Capacitación Técnica para Operadores</t>
  </si>
  <si>
    <t>(1.2.1.)(B.1.3.4.) Curso Especializado de Economía Circular</t>
  </si>
  <si>
    <t>(1.2.2.2.1)(B.1.1.12.) Contratación de consultoría para fortalecer la Eficiencia Energética de las Prestadoras APS</t>
  </si>
  <si>
    <t>(1.2.2.2.3.) (B.1.4.5.)Contratación de consultora para el fortalecimiento a las Prestadoras APS en Reducción de Pérdidas Físicas de Agua Potable</t>
  </si>
  <si>
    <t>(1.2.2.2.2.)(B.1.6.3.) Fortalecimiento de la gestión comercial y facturación en prestadoras APS</t>
  </si>
  <si>
    <t>(1.2.2.2.2.)(B.1.6.3.) Diseño de un Marco Tarifario de Referencia para la Sostenibilidad y Desempeño del Sector APS</t>
  </si>
  <si>
    <t>(1.2.2.2.2.)(B.1.3.3.) Contratación de consultoría para fortalecer la eficiencia de Servicios de Agua Potable en Prestadoras APS</t>
  </si>
  <si>
    <t>(1.2.2.2.2.)(B.1.5.5) Contratación de Consultoría para fortalecer la eficiencia del Tratamiento de Aguas Residuales en Prestadoras APS</t>
  </si>
  <si>
    <t>(1.2.2.2.2.)(B.1.3.3.) Diseño de un Marco de Gestión del Cambio Organizacionla para empresas públicas del Sector APS</t>
  </si>
  <si>
    <t>(1.2.2.2.2.)(B.1.3.3.) Diseño de un Manual de Buenas Prácticas de Gobernanza Corporativa para empresas públicas del Sector APS</t>
  </si>
  <si>
    <t>(1.2.2.2.2.)(B.1.3.3.) Diseño de un modelo de gestión integral de riesgos institucionales en empresas públicas del Sector APS</t>
  </si>
  <si>
    <t>(1.2.2.2.)(B.1.6.8.) Alquileres y rentas de edificios y locales</t>
  </si>
  <si>
    <t>(1.2.2.2.) (B.1.6.9.) Alquiler de equipo de tecnología y almacenamiento de datos</t>
  </si>
  <si>
    <t>(1.2.2.2.)(B.1.6.5.) Impresión y encuadernación</t>
  </si>
  <si>
    <t>(1.2.2.2.)(B.1.6.6.) Servicios de capacitación</t>
  </si>
  <si>
    <t>(1.2.2.2.)(B.1.6.12.) Eventos generales</t>
  </si>
  <si>
    <t>(1.2.2.2.)(B.1.6.10.) Servicios de alimentación</t>
  </si>
  <si>
    <t>(1.2.2.2.)(B.1.6.11.) Útiles de escritorio, oficina, informática y enseñanza</t>
  </si>
  <si>
    <t>(1.2.2.2.)(B.1.5.10) Útiles de escriotrio, oficina, informática y enseñanza</t>
  </si>
  <si>
    <t>(1.2.2.2.)(B.1.5.11) Eventos generales</t>
  </si>
  <si>
    <t>(1.2.2.2.)(B.1.5.7) Alquileres y rentas de edificios y locales</t>
  </si>
  <si>
    <t>(1.2.2.2.)(B.1.5.8) Alquiler de equipo de tecnología y almacenamiento de datos</t>
  </si>
  <si>
    <t>(1.2.2.2.)(B.1.5.9) Servicios de alimentación</t>
  </si>
  <si>
    <t>(1.2.2.2.4.)(B.1.4.10.) Útiles de escritorio, oficina, informática y enseñanza</t>
  </si>
  <si>
    <t>(1.2.2.2.4.)(B.1.4.7) Alquileres y rentas de edificios y locales</t>
  </si>
  <si>
    <t>(1.2.2.2.4.)(B.1.4.8) Alquiler de equipo de tecnología y almacenamiento de datos</t>
  </si>
  <si>
    <t>(1.2.2.2.4.)(B.1.4.9.) Servicios de alimentación</t>
  </si>
  <si>
    <t>(1.2.2.2)(B.1.3.6.) Pasajes y gastos de transporte</t>
  </si>
  <si>
    <t>(1.2.2.2)(B.1.3.7.) Alquileres y rentas de edificios y locales</t>
  </si>
  <si>
    <t>(1.2.2.2)(B.1.3.8.) Alquiler de equipo de tecnología y almacenamiento de datos</t>
  </si>
  <si>
    <t>(1.2.2.2)(B.1.3.9.) Servicios de alimentación</t>
  </si>
  <si>
    <t>(1.2.2.2)(B.1.3.11) Útiles de escritorios, oficina, informática y enseñanza</t>
  </si>
  <si>
    <t>(1.2.2.2.)(B.1.3.12.) Otros servicios técnicos profesionales</t>
  </si>
  <si>
    <t>(1.2.2.2.1.)(B.1.1.6.) Alquileres y rentas de edificios y locales</t>
  </si>
  <si>
    <t>(1.2.2.2.1.)(B.1.1.7.) Alquiler de equipo de tecnología y almacenamiento de datos</t>
  </si>
  <si>
    <t>(1.2.2.2.1.)(B.1.1.8.) Servicios de alimentación</t>
  </si>
  <si>
    <t>(1.2.2.2.1.)(B.1.1.9.) Útiles de escritorio, oficina, informática y enseñanza</t>
  </si>
  <si>
    <t xml:space="preserve">(1.2.2.1.4.)(B.1.3.3.) Consultoría diagnóstico necesidades áreas de compras de las Prestadoras </t>
  </si>
  <si>
    <t>(1.2.2.2.6.)(B.1.3.3.) Programa Institucional Mejora de Procesos de Unidades de Compras</t>
  </si>
  <si>
    <r>
      <t>(</t>
    </r>
    <r>
      <rPr>
        <b/>
        <sz val="11"/>
        <color theme="1"/>
        <rFont val="Aptos Narrow"/>
        <family val="2"/>
        <scheme val="minor"/>
      </rPr>
      <t>1.2.4.</t>
    </r>
    <r>
      <rPr>
        <sz val="11"/>
        <color theme="1"/>
        <rFont val="Aptos Narrow"/>
        <family val="2"/>
        <scheme val="minor"/>
      </rPr>
      <t xml:space="preserve">)(B.1.2.3.) Diseño de un Marco Técnico y Herramienta para Priorización de Inversiones Resilientes </t>
    </r>
  </si>
  <si>
    <r>
      <t>(</t>
    </r>
    <r>
      <rPr>
        <b/>
        <sz val="11"/>
        <color theme="1"/>
        <rFont val="Aptos Narrow"/>
        <family val="2"/>
        <scheme val="minor"/>
      </rPr>
      <t>1.2.4.</t>
    </r>
    <r>
      <rPr>
        <sz val="11"/>
        <color theme="1"/>
        <rFont val="Aptos Narrow"/>
        <family val="2"/>
        <scheme val="minor"/>
      </rPr>
      <t xml:space="preserve">)(B.1.2.3.) Guía metodológica para evaluación de riesgos ambientales y climáticos en proyectos APS </t>
    </r>
  </si>
  <si>
    <r>
      <t>(</t>
    </r>
    <r>
      <rPr>
        <b/>
        <sz val="11"/>
        <color theme="1"/>
        <rFont val="Aptos Narrow"/>
        <family val="2"/>
        <scheme val="minor"/>
      </rPr>
      <t>1.2.4.</t>
    </r>
    <r>
      <rPr>
        <sz val="11"/>
        <color theme="1"/>
        <rFont val="Aptos Narrow"/>
        <family val="2"/>
        <scheme val="minor"/>
      </rPr>
      <t xml:space="preserve">)(B.1.2.3.) Lineamientos para incorporación de Soluciones Basadas en la Naturaleza (SbN) en infraestructura </t>
    </r>
  </si>
  <si>
    <r>
      <t>(</t>
    </r>
    <r>
      <rPr>
        <b/>
        <sz val="11"/>
        <color theme="1"/>
        <rFont val="Aptos Narrow"/>
        <family val="2"/>
        <scheme val="minor"/>
      </rPr>
      <t>1.2.4.</t>
    </r>
    <r>
      <rPr>
        <sz val="11"/>
        <color theme="1"/>
        <rFont val="Aptos Narrow"/>
        <family val="2"/>
        <scheme val="minor"/>
      </rPr>
      <t>)(B.1.2.3.) Estudios sobre huella hídrica y emisiones de carbono en operaciones APS y Diseño de un modelo de medición de huella hídrica y de carbono en prestadoras APS</t>
    </r>
  </si>
  <si>
    <r>
      <t>(</t>
    </r>
    <r>
      <rPr>
        <b/>
        <sz val="11"/>
        <color theme="1"/>
        <rFont val="Aptos Narrow"/>
        <family val="2"/>
        <scheme val="minor"/>
      </rPr>
      <t>1.2.4.</t>
    </r>
    <r>
      <rPr>
        <sz val="11"/>
        <color theme="1"/>
        <rFont val="Aptos Narrow"/>
        <family val="2"/>
        <scheme val="minor"/>
      </rPr>
      <t>)(B.1.2.5.) Curso sobre Gestión Organizacional y Ambiental para Certificación ISO 9001 e ISO 14001</t>
    </r>
  </si>
  <si>
    <r>
      <t>(</t>
    </r>
    <r>
      <rPr>
        <b/>
        <sz val="11"/>
        <color theme="1"/>
        <rFont val="Aptos Narrow"/>
        <family val="2"/>
        <scheme val="minor"/>
      </rPr>
      <t>1.2.4.</t>
    </r>
    <r>
      <rPr>
        <sz val="11"/>
        <color theme="1"/>
        <rFont val="Aptos Narrow"/>
        <family val="2"/>
        <scheme val="minor"/>
      </rPr>
      <t>)(B.1.2.3.) Contratación de consultoría para fortalecer la Gestión Ambiental y Social en Prestadoras APS</t>
    </r>
  </si>
  <si>
    <t>(1.2.4.)(B.1.2.7.) Eventos generales</t>
  </si>
  <si>
    <r>
      <t>(1.2.6.)(</t>
    </r>
    <r>
      <rPr>
        <b/>
        <sz val="11"/>
        <color theme="6"/>
        <rFont val="Aptos Narrow"/>
        <family val="2"/>
        <scheme val="minor"/>
      </rPr>
      <t>B1.7.10</t>
    </r>
    <r>
      <rPr>
        <sz val="11"/>
        <color theme="1"/>
        <rFont val="Aptos Narrow"/>
        <family val="2"/>
        <scheme val="minor"/>
      </rPr>
      <t>) Adquisición de Vehículos de Motor para los Viceministerios de Presupuesto, Contabilidad y Contrataciones (DIGEPRES) y Planificación e Inversión Pública del Viceministerio de Hacienda y Economía</t>
    </r>
  </si>
  <si>
    <t>(1.2.6.)(B1.7.3.) Desarrollo de Módulos de Proyectos de Inversión Publica y Empresas Públicas del SIGEF</t>
  </si>
  <si>
    <t>(1.2.6.)(B1.7.6) Programa de Liderazgo para la Gestión Publica PLGP</t>
  </si>
  <si>
    <t>(1.2.6.)(B1.7.3.) Contratación de consultoría para fortalecer la Gestión Administrativa y Financiera en Prestadoras APS</t>
  </si>
  <si>
    <t>(1.2.6.) (B1.7.10.) Servicios de catering</t>
  </si>
  <si>
    <t>(1.2.6.)(B1.7.12.) Eventos generales</t>
  </si>
  <si>
    <t>(1.2.6.)(B1.7.5.)Impresión y encuadernación</t>
  </si>
  <si>
    <t>(1.2.6.)(B1.7.8.) Alquileres y rentas de edificios y locales</t>
  </si>
  <si>
    <t>(1.2.6.) (B1.7.9) Alquiler de equipo de tecnología y alamacenamiento de datos</t>
  </si>
  <si>
    <t>(1.2.7.)(B1.8.8.) Programa de Preparación para la Certificación PMP</t>
  </si>
  <si>
    <t>(1.2.7.)(B1.8.5.) Consultoría para Fortalecimiento de la Gerencia y Ejecución de carteras de Proyectos ejecutados por empresas APS en el marco del SNIP.</t>
  </si>
  <si>
    <t>(1.2.7.)(B1.8.5.) Consultoría para el acompañamiento en la gestión de la cartera de proyectos del prestador APS.</t>
  </si>
  <si>
    <t>(1.2.7.)(B1.8.5.) Consultoría para Revisión y Fortalecimiento de Instrumentos de Gestión del Proyecto</t>
  </si>
  <si>
    <t>(1.2.7.)(B1.8.5) Actualización de las Normas Técnicas y Metodologías de Formulación de Proyectos del Sistema Nacional de Inversión Publica (SNIP)</t>
  </si>
  <si>
    <t>(1.2.7.)(B1.8.5) Consultoría para el acompañamiento en la gestión de la cartera de proyectos del prestador APS.</t>
  </si>
  <si>
    <t>(1.2.7.)(B1.8.8) Diplomado en Formulación y Evaluación de Proyectos de Inversión y Desarrollo</t>
  </si>
  <si>
    <t>(1.2.7.)(B1.8.12.) Servicios de catering</t>
  </si>
  <si>
    <t>(1.2.7.)(B1.8.13.) Útiles de escritorio, oficina, informática y enseñanza</t>
  </si>
  <si>
    <t>(1.2.7.)(B1.8.7.) Impresión y encuadernación</t>
  </si>
  <si>
    <t>(1.2.7.)(B1.8.10.) Alquileres y rentas de edificios y locales</t>
  </si>
  <si>
    <t>(1.2.7.)(B1.8.3.) Otros servicios técnicos profesionales</t>
  </si>
  <si>
    <t>(1.2.7.)(B1.8.11.) Alquiler de equipo de tecnología y almacenamientos de datos</t>
  </si>
  <si>
    <t>Presupuesto Ajustado</t>
  </si>
  <si>
    <t>25/010/2027</t>
  </si>
  <si>
    <t>1.1.1.3.</t>
  </si>
  <si>
    <t>1.1.1.2.</t>
  </si>
  <si>
    <r>
      <rPr>
        <b/>
        <sz val="11"/>
        <color theme="1"/>
        <rFont val="Aptos Narrow"/>
        <family val="2"/>
        <scheme val="minor"/>
      </rPr>
      <t xml:space="preserve">Actividad: </t>
    </r>
    <r>
      <rPr>
        <sz val="11"/>
        <color theme="1"/>
        <rFont val="Aptos Narrow"/>
        <family val="2"/>
        <scheme val="minor"/>
      </rPr>
      <t>Formular Plan de Gestión de Riesgo</t>
    </r>
  </si>
  <si>
    <t>1.1.9.2.1.</t>
  </si>
  <si>
    <t>2.1.3.</t>
  </si>
  <si>
    <r>
      <rPr>
        <b/>
        <sz val="11"/>
        <rFont val="Aptos Narrow"/>
        <family val="2"/>
        <scheme val="minor"/>
      </rPr>
      <t xml:space="preserve">Actividad: </t>
    </r>
    <r>
      <rPr>
        <sz val="11"/>
        <rFont val="Aptos Narrow"/>
        <family val="2"/>
        <scheme val="minor"/>
      </rPr>
      <t>Coordinar e implementar talleres de seguimiento trimestrales para el ajuste y validación conjunta de la planificación y presupuesto, con base en los avances, lecciones aprendidas y cambios contextuales.</t>
    </r>
  </si>
  <si>
    <r>
      <rPr>
        <b/>
        <sz val="11"/>
        <rFont val="Aptos Narrow"/>
        <family val="2"/>
        <scheme val="minor"/>
      </rPr>
      <t xml:space="preserve">Actividad: </t>
    </r>
    <r>
      <rPr>
        <sz val="11"/>
        <rFont val="Aptos Narrow"/>
        <family val="2"/>
        <scheme val="minor"/>
      </rPr>
      <t>Actualizar Manual de Operaciones del Programa</t>
    </r>
  </si>
  <si>
    <r>
      <rPr>
        <b/>
        <sz val="11"/>
        <rFont val="Aptos Narrow"/>
        <family val="2"/>
        <scheme val="minor"/>
      </rPr>
      <t>Actividad:</t>
    </r>
    <r>
      <rPr>
        <sz val="11"/>
        <rFont val="Aptos Narrow"/>
        <family val="2"/>
        <scheme val="minor"/>
      </rPr>
      <t xml:space="preserve"> Coordinar e implementar actividades para el ajuste y validación conjunta del presupuesto anual, con base en los avances, lecciones aprendidas y cambios contextuales.</t>
    </r>
  </si>
  <si>
    <r>
      <rPr>
        <b/>
        <sz val="11"/>
        <rFont val="Aptos Narrow"/>
        <family val="2"/>
        <scheme val="minor"/>
      </rPr>
      <t xml:space="preserve">Actividad: </t>
    </r>
    <r>
      <rPr>
        <sz val="11"/>
        <rFont val="Aptos Narrow"/>
        <family val="2"/>
        <scheme val="minor"/>
      </rPr>
      <t>Programar los recursos a ser incluidos en el Plan de Inversión del Siguiente Ejercicio Presupuestario.</t>
    </r>
  </si>
  <si>
    <r>
      <rPr>
        <b/>
        <sz val="11"/>
        <rFont val="Aptos Narrow"/>
        <family val="2"/>
        <scheme val="minor"/>
      </rPr>
      <t>Actividad:</t>
    </r>
    <r>
      <rPr>
        <sz val="11"/>
        <rFont val="Aptos Narrow"/>
        <family val="2"/>
        <scheme val="minor"/>
      </rPr>
      <t xml:space="preserve"> Capturar la información trimestral de ejecución físico - financiera SNIP 16261 (Programa de Modernización del Sector APS)</t>
    </r>
  </si>
  <si>
    <r>
      <rPr>
        <b/>
        <sz val="11"/>
        <rFont val="Aptos Narrow"/>
        <family val="2"/>
        <scheme val="minor"/>
      </rPr>
      <t>Actividad:</t>
    </r>
    <r>
      <rPr>
        <sz val="11"/>
        <rFont val="Aptos Narrow"/>
        <family val="2"/>
        <scheme val="minor"/>
      </rPr>
      <t xml:space="preserve"> Verificar y validar actividades en el Plan de Operativo Anual</t>
    </r>
  </si>
  <si>
    <r>
      <rPr>
        <b/>
        <sz val="11"/>
        <rFont val="Aptos Narrow"/>
        <family val="2"/>
        <scheme val="minor"/>
      </rPr>
      <t>Actividad</t>
    </r>
    <r>
      <rPr>
        <sz val="11"/>
        <rFont val="Aptos Narrow"/>
        <family val="2"/>
        <scheme val="minor"/>
      </rPr>
      <t>: Crear nueva actividad en STEP</t>
    </r>
  </si>
  <si>
    <r>
      <rPr>
        <b/>
        <sz val="11"/>
        <rFont val="Aptos Narrow"/>
        <family val="2"/>
        <scheme val="minor"/>
      </rPr>
      <t xml:space="preserve">Actividad: </t>
    </r>
    <r>
      <rPr>
        <sz val="11"/>
        <rFont val="Aptos Narrow"/>
        <family val="2"/>
        <scheme val="minor"/>
      </rPr>
      <t>Cargar y remitir en STEP el Plan de Adquisiciones para No Objeción por parte del Grupo Banco Mundial.</t>
    </r>
  </si>
  <si>
    <r>
      <rPr>
        <b/>
        <sz val="11"/>
        <rFont val="Aptos Narrow"/>
        <family val="2"/>
        <scheme val="minor"/>
      </rPr>
      <t xml:space="preserve">Actividad: </t>
    </r>
    <r>
      <rPr>
        <sz val="11"/>
        <rFont val="Aptos Narrow"/>
        <family val="2"/>
        <scheme val="minor"/>
      </rPr>
      <t>Gestionar los procesos de selección y evaluación técnica-económica de propuestas</t>
    </r>
  </si>
  <si>
    <r>
      <rPr>
        <b/>
        <sz val="11"/>
        <rFont val="Aptos Narrow"/>
        <family val="2"/>
        <scheme val="minor"/>
      </rPr>
      <t>Actividad:</t>
    </r>
    <r>
      <rPr>
        <sz val="11"/>
        <rFont val="Aptos Narrow"/>
        <family val="2"/>
        <scheme val="minor"/>
      </rPr>
      <t xml:space="preserve"> Gestionar los procesos de adjudicación y formalización de contratos</t>
    </r>
  </si>
  <si>
    <r>
      <rPr>
        <b/>
        <sz val="11"/>
        <rFont val="Aptos Narrow"/>
        <family val="2"/>
        <scheme val="minor"/>
      </rPr>
      <t>Actividad:</t>
    </r>
    <r>
      <rPr>
        <sz val="11"/>
        <rFont val="Aptos Narrow"/>
        <family val="2"/>
        <scheme val="minor"/>
      </rPr>
      <t xml:space="preserve"> Elaborar formulario SOE con los datos de los expendientes pagados</t>
    </r>
  </si>
  <si>
    <r>
      <rPr>
        <b/>
        <sz val="11"/>
        <rFont val="Aptos Narrow"/>
        <family val="2"/>
        <scheme val="minor"/>
      </rPr>
      <t>Actividad:</t>
    </r>
    <r>
      <rPr>
        <sz val="11"/>
        <rFont val="Aptos Narrow"/>
        <family val="2"/>
        <scheme val="minor"/>
      </rPr>
      <t xml:space="preserve"> Remitir a la coordinación el formulario SOE para su revisión y validación.</t>
    </r>
  </si>
  <si>
    <r>
      <rPr>
        <b/>
        <sz val="11"/>
        <rFont val="Aptos Narrow"/>
        <family val="2"/>
        <scheme val="minor"/>
      </rPr>
      <t>Actividad:</t>
    </r>
    <r>
      <rPr>
        <sz val="11"/>
        <rFont val="Aptos Narrow"/>
        <family val="2"/>
        <scheme val="minor"/>
      </rPr>
      <t xml:space="preserve"> Tramitar el formulario SOE para firma y aprobación al VAF</t>
    </r>
  </si>
  <si>
    <r>
      <rPr>
        <b/>
        <sz val="11"/>
        <rFont val="Aptos Narrow"/>
        <family val="2"/>
        <scheme val="minor"/>
      </rPr>
      <t xml:space="preserve">Actividad: </t>
    </r>
    <r>
      <rPr>
        <sz val="11"/>
        <rFont val="Aptos Narrow"/>
        <family val="2"/>
        <scheme val="minor"/>
      </rPr>
      <t>Registrar solicitud de reporte de gastos en Client Connection con el reporte de SOE adjunto y enviar para firma de los firmantes autorizados.</t>
    </r>
  </si>
  <si>
    <r>
      <rPr>
        <b/>
        <sz val="11"/>
        <rFont val="Aptos Narrow"/>
        <family val="2"/>
        <scheme val="minor"/>
      </rPr>
      <t xml:space="preserve">Actividad: </t>
    </r>
    <r>
      <rPr>
        <sz val="11"/>
        <rFont val="Aptos Narrow"/>
        <family val="2"/>
        <scheme val="minor"/>
      </rPr>
      <t>Tramitar vía Client Connection  para la firma y remisión de lugar</t>
    </r>
  </si>
  <si>
    <r>
      <rPr>
        <b/>
        <sz val="11"/>
        <rFont val="Aptos Narrow"/>
        <family val="2"/>
        <scheme val="minor"/>
      </rPr>
      <t>Actividad:</t>
    </r>
    <r>
      <rPr>
        <sz val="11"/>
        <rFont val="Aptos Narrow"/>
        <family val="2"/>
        <scheme val="minor"/>
      </rPr>
      <t xml:space="preserve"> Elaborar IFR con los datos financieros del Programa (IPF-MEPYD, IPF-INDRHI, PporR) suministrado por SIGEF-UEPEX</t>
    </r>
  </si>
  <si>
    <r>
      <rPr>
        <b/>
        <sz val="11"/>
        <rFont val="Aptos Narrow"/>
        <family val="2"/>
        <scheme val="minor"/>
      </rPr>
      <t>Actividad:</t>
    </r>
    <r>
      <rPr>
        <sz val="11"/>
        <rFont val="Aptos Narrow"/>
        <family val="2"/>
        <scheme val="minor"/>
      </rPr>
      <t xml:space="preserve"> Remitir IFR a la coordinación para su revisión y validación.</t>
    </r>
  </si>
  <si>
    <r>
      <rPr>
        <b/>
        <sz val="11"/>
        <rFont val="Aptos Narrow"/>
        <family val="2"/>
        <scheme val="minor"/>
      </rPr>
      <t>Actividad:</t>
    </r>
    <r>
      <rPr>
        <sz val="11"/>
        <rFont val="Aptos Narrow"/>
        <family val="2"/>
        <scheme val="minor"/>
      </rPr>
      <t xml:space="preserve"> Incluir IFR en el informe semestral de la operación.</t>
    </r>
  </si>
  <si>
    <r>
      <rPr>
        <b/>
        <sz val="11"/>
        <rFont val="Aptos Narrow"/>
        <family val="2"/>
        <scheme val="minor"/>
      </rPr>
      <t>Actividad:</t>
    </r>
    <r>
      <rPr>
        <sz val="11"/>
        <rFont val="Aptos Narrow"/>
        <family val="2"/>
        <scheme val="minor"/>
      </rPr>
      <t xml:space="preserve"> Remitir IFR via Client Connection</t>
    </r>
  </si>
  <si>
    <r>
      <rPr>
        <b/>
        <sz val="11"/>
        <rFont val="Aptos Narrow"/>
        <family val="2"/>
        <scheme val="minor"/>
      </rPr>
      <t xml:space="preserve">Actividad: </t>
    </r>
    <r>
      <rPr>
        <sz val="11"/>
        <rFont val="Aptos Narrow"/>
        <family val="2"/>
        <scheme val="minor"/>
      </rPr>
      <t>Preparar y suministrar al auditor externo la documentación necesaria para la auditoría, incluyendo la matriz de gastos, la recopilación de información de pagos, el convenio de préstamo, el presupuesto, los manuales de políticas y procedimientos de la UGCP-MEPyD y UCIP (UGCP-INDRHI), y la balanza de comprobación.</t>
    </r>
  </si>
  <si>
    <r>
      <rPr>
        <b/>
        <sz val="11"/>
        <rFont val="Aptos Narrow"/>
        <family val="2"/>
        <scheme val="minor"/>
      </rPr>
      <t>Actividad:</t>
    </r>
    <r>
      <rPr>
        <sz val="11"/>
        <rFont val="Aptos Narrow"/>
        <family val="2"/>
        <scheme val="minor"/>
      </rPr>
      <t xml:space="preserve"> Desarrollar el "Manual de Monitoreo del Programa", incluyendo la descripción del Sistema de Monitoreo y los Procedimientos Operativos Estandarizados para el uso de la plataforma.</t>
    </r>
  </si>
  <si>
    <r>
      <t>Tarea:</t>
    </r>
    <r>
      <rPr>
        <b/>
        <i/>
        <sz val="11"/>
        <rFont val="Aptos Narrow"/>
        <family val="2"/>
        <scheme val="minor"/>
      </rPr>
      <t xml:space="preserve"> </t>
    </r>
    <r>
      <rPr>
        <i/>
        <sz val="11"/>
        <rFont val="Aptos Narrow"/>
        <family val="2"/>
        <scheme val="minor"/>
      </rPr>
      <t>Contratar y configurar la plataforma de monitoreo del programa</t>
    </r>
  </si>
  <si>
    <r>
      <t>Tarea</t>
    </r>
    <r>
      <rPr>
        <b/>
        <i/>
        <sz val="11"/>
        <rFont val="Aptos Narrow"/>
        <family val="2"/>
        <scheme val="minor"/>
      </rPr>
      <t>:</t>
    </r>
    <r>
      <rPr>
        <i/>
        <sz val="11"/>
        <rFont val="Aptos Narrow"/>
        <family val="2"/>
        <scheme val="minor"/>
      </rPr>
      <t xml:space="preserve"> Definir los procedimientos operativos estandarizados (POE) para ingreso de datos a la plataforma</t>
    </r>
  </si>
  <si>
    <r>
      <t>Tarea</t>
    </r>
    <r>
      <rPr>
        <b/>
        <i/>
        <sz val="11"/>
        <rFont val="Aptos Narrow"/>
        <family val="2"/>
        <scheme val="minor"/>
      </rPr>
      <t xml:space="preserve">: </t>
    </r>
    <r>
      <rPr>
        <i/>
        <sz val="11"/>
        <rFont val="Aptos Narrow"/>
        <family val="2"/>
        <scheme val="minor"/>
      </rPr>
      <t>Validar borrador con el equipo técnico y entidades ejecutoras</t>
    </r>
  </si>
  <si>
    <r>
      <rPr>
        <b/>
        <sz val="11"/>
        <rFont val="Aptos Narrow"/>
        <family val="2"/>
        <scheme val="minor"/>
      </rPr>
      <t xml:space="preserve">Actividad: </t>
    </r>
    <r>
      <rPr>
        <sz val="11"/>
        <rFont val="Aptos Narrow"/>
        <family val="2"/>
        <scheme val="minor"/>
      </rPr>
      <t>Implementar actividades de capacitación para el manejo correcto del sistema y la plataforma de monitoreo.</t>
    </r>
  </si>
  <si>
    <r>
      <rPr>
        <b/>
        <sz val="11"/>
        <rFont val="Aptos Narrow"/>
        <family val="2"/>
        <scheme val="minor"/>
      </rPr>
      <t xml:space="preserve">Actividad: </t>
    </r>
    <r>
      <rPr>
        <sz val="11"/>
        <rFont val="Aptos Narrow"/>
        <family val="2"/>
        <scheme val="minor"/>
      </rPr>
      <t>Sesiones de seguimiento trimestral con las entidades ejecutoras, para revisión del progreso, retroalimentación y aplicación de ajustes en la implementación</t>
    </r>
  </si>
  <si>
    <r>
      <rPr>
        <b/>
        <sz val="11"/>
        <rFont val="Aptos Narrow"/>
        <family val="2"/>
        <scheme val="minor"/>
      </rPr>
      <t xml:space="preserve">Actividad: </t>
    </r>
    <r>
      <rPr>
        <sz val="11"/>
        <rFont val="Aptos Narrow"/>
        <family val="2"/>
        <scheme val="minor"/>
      </rPr>
      <t>Elaborar informes semestrales de la operación para presentar a Banco Mundial</t>
    </r>
  </si>
  <si>
    <r>
      <rPr>
        <b/>
        <sz val="11"/>
        <rFont val="Aptos Narrow"/>
        <family val="2"/>
        <scheme val="minor"/>
      </rPr>
      <t>Actividad:</t>
    </r>
    <r>
      <rPr>
        <sz val="11"/>
        <rFont val="Aptos Narrow"/>
        <family val="2"/>
        <scheme val="minor"/>
      </rPr>
      <t xml:space="preserve"> Evaluación anual del Acuerdo de desempeño realizado por la UGCP</t>
    </r>
  </si>
  <si>
    <r>
      <rPr>
        <b/>
        <sz val="11"/>
        <rFont val="Aptos Narrow"/>
        <family val="2"/>
        <scheme val="minor"/>
      </rPr>
      <t xml:space="preserve">Actividad: </t>
    </r>
    <r>
      <rPr>
        <sz val="11"/>
        <rFont val="Aptos Narrow"/>
        <family val="2"/>
        <scheme val="minor"/>
      </rPr>
      <t>Organizar y facilitar sesiones con  el equipo involucrado, para identificar, documentar y diseminar las lecciones aprendidas del programa.</t>
    </r>
  </si>
  <si>
    <r>
      <rPr>
        <b/>
        <sz val="11"/>
        <rFont val="Aptos Narrow"/>
        <family val="2"/>
        <scheme val="minor"/>
      </rPr>
      <t xml:space="preserve">Actividad: </t>
    </r>
    <r>
      <rPr>
        <sz val="11"/>
        <rFont val="Aptos Narrow"/>
        <family val="2"/>
        <scheme val="minor"/>
      </rPr>
      <t>Realizar ejercicio de verificación independiente de una agencia externa para la Evaluación Anual de Logros.</t>
    </r>
  </si>
  <si>
    <r>
      <rPr>
        <b/>
        <sz val="11"/>
        <rFont val="Aptos Narrow"/>
        <family val="2"/>
        <scheme val="minor"/>
      </rPr>
      <t>Actividad:</t>
    </r>
    <r>
      <rPr>
        <sz val="11"/>
        <rFont val="Aptos Narrow"/>
        <family val="2"/>
        <scheme val="minor"/>
      </rPr>
      <t xml:space="preserve"> Implementar el ejercicio de Evaluación de Medio Término del Programa.</t>
    </r>
  </si>
  <si>
    <r>
      <rPr>
        <b/>
        <sz val="11"/>
        <rFont val="Aptos Narrow"/>
        <family val="2"/>
        <scheme val="minor"/>
      </rPr>
      <t>Actividad:</t>
    </r>
    <r>
      <rPr>
        <sz val="11"/>
        <rFont val="Aptos Narrow"/>
        <family val="2"/>
        <scheme val="minor"/>
      </rPr>
      <t xml:space="preserve"> Formulación documental del sistema de monitoreo de desempeño, incluyendo definiciones, método de cálculo, frecuencia y medios de verificación de las variables identificadas.</t>
    </r>
  </si>
  <si>
    <r>
      <rPr>
        <b/>
        <sz val="11"/>
        <rFont val="Aptos Narrow"/>
        <family val="2"/>
        <scheme val="minor"/>
      </rPr>
      <t xml:space="preserve">Actividad: </t>
    </r>
    <r>
      <rPr>
        <sz val="11"/>
        <rFont val="Aptos Narrow"/>
        <family val="2"/>
        <scheme val="minor"/>
      </rPr>
      <t>Desarrollo e implementación de un software especializado para la interoperabilidad de los de datos operativos, comerciales y financieros levantados por las entidades ejecutoras.</t>
    </r>
  </si>
  <si>
    <r>
      <rPr>
        <b/>
        <sz val="11"/>
        <rFont val="Aptos Narrow"/>
        <family val="2"/>
        <scheme val="minor"/>
      </rPr>
      <t xml:space="preserve">Actividad: </t>
    </r>
    <r>
      <rPr>
        <sz val="11"/>
        <rFont val="Aptos Narrow"/>
        <family val="2"/>
        <scheme val="minor"/>
      </rPr>
      <t>Organización de talleres y capacitaciones para el personal de los prestadores de APS aobre el marco de monitoreo, y  el manejo de herramientas de supervisión y el uso de datos para la toma de decisiones.</t>
    </r>
  </si>
  <si>
    <r>
      <rPr>
        <b/>
        <sz val="11"/>
        <rFont val="Aptos Narrow"/>
        <family val="2"/>
        <scheme val="minor"/>
      </rPr>
      <t>Actividad:</t>
    </r>
    <r>
      <rPr>
        <sz val="11"/>
        <rFont val="Aptos Narrow"/>
        <family val="2"/>
        <scheme val="minor"/>
      </rPr>
      <t xml:space="preserve"> Evaluación anual del marco de monitoreo para identificar áreas de mejora y actualizar indicadores o herramientas, según sea necesario.</t>
    </r>
  </si>
  <si>
    <r>
      <rPr>
        <b/>
        <sz val="11"/>
        <rFont val="Aptos Narrow"/>
        <family val="2"/>
        <scheme val="minor"/>
      </rPr>
      <t xml:space="preserve">Actividad: </t>
    </r>
    <r>
      <rPr>
        <sz val="11"/>
        <rFont val="Aptos Narrow"/>
        <family val="2"/>
        <scheme val="minor"/>
      </rPr>
      <t>Plan de Participacion de Partes Interesadas (PPPI)</t>
    </r>
  </si>
  <si>
    <r>
      <rPr>
        <b/>
        <sz val="11"/>
        <rFont val="Aptos Narrow"/>
        <family val="2"/>
        <scheme val="minor"/>
      </rPr>
      <t xml:space="preserve">Actividad: </t>
    </r>
    <r>
      <rPr>
        <sz val="11"/>
        <rFont val="Aptos Narrow"/>
        <family val="2"/>
        <scheme val="minor"/>
      </rPr>
      <t>Plan de Gestion Laboral (PGL)</t>
    </r>
  </si>
  <si>
    <r>
      <rPr>
        <b/>
        <sz val="11"/>
        <rFont val="Aptos Narrow"/>
        <family val="2"/>
        <scheme val="minor"/>
      </rPr>
      <t>Actividad:</t>
    </r>
    <r>
      <rPr>
        <sz val="11"/>
        <rFont val="Aptos Narrow"/>
        <family val="2"/>
        <scheme val="minor"/>
      </rPr>
      <t xml:space="preserve"> Plan de capacitaciones A&amp;S</t>
    </r>
  </si>
  <si>
    <r>
      <rPr>
        <b/>
        <sz val="11"/>
        <rFont val="Aptos Narrow"/>
        <family val="2"/>
        <scheme val="minor"/>
      </rPr>
      <t>Actividad:</t>
    </r>
    <r>
      <rPr>
        <sz val="11"/>
        <rFont val="Aptos Narrow"/>
        <family val="2"/>
        <scheme val="minor"/>
      </rPr>
      <t xml:space="preserve"> Plan de Gestion Ambiental y Social (PGAS)</t>
    </r>
  </si>
  <si>
    <r>
      <rPr>
        <b/>
        <sz val="11"/>
        <rFont val="Aptos Narrow"/>
        <family val="2"/>
        <scheme val="minor"/>
      </rPr>
      <t>Actividad:</t>
    </r>
    <r>
      <rPr>
        <sz val="11"/>
        <rFont val="Aptos Narrow"/>
        <family val="2"/>
        <scheme val="minor"/>
      </rPr>
      <t xml:space="preserve"> Diagnosticar las necesidades de capacitación de las prestadoras de servicios APS.</t>
    </r>
  </si>
  <si>
    <r>
      <rPr>
        <b/>
        <sz val="11"/>
        <rFont val="Aptos Narrow"/>
        <family val="2"/>
        <scheme val="minor"/>
      </rPr>
      <t xml:space="preserve">Actividad: </t>
    </r>
    <r>
      <rPr>
        <sz val="11"/>
        <rFont val="Aptos Narrow"/>
        <family val="2"/>
        <scheme val="minor"/>
      </rPr>
      <t>Identificar brechas de capacidades técnicas, operativas y de gestión.</t>
    </r>
  </si>
  <si>
    <r>
      <rPr>
        <b/>
        <sz val="11"/>
        <rFont val="Aptos Narrow"/>
        <family val="2"/>
        <scheme val="minor"/>
      </rPr>
      <t>Actividad:</t>
    </r>
    <r>
      <rPr>
        <sz val="11"/>
        <rFont val="Aptos Narrow"/>
        <family val="2"/>
        <scheme val="minor"/>
      </rPr>
      <t xml:space="preserve"> Priorizar los temas de formación según las necesidades identificadas y los objetivos del Programa.</t>
    </r>
  </si>
  <si>
    <r>
      <rPr>
        <b/>
        <sz val="11"/>
        <rFont val="Aptos Narrow"/>
        <family val="2"/>
        <scheme val="minor"/>
      </rPr>
      <t>Actividad:</t>
    </r>
    <r>
      <rPr>
        <sz val="11"/>
        <rFont val="Aptos Narrow"/>
        <family val="2"/>
        <scheme val="minor"/>
      </rPr>
      <t xml:space="preserve"> Diseñar el plan de formación con objetivos, contenidos, cronograma y metodología.</t>
    </r>
  </si>
  <si>
    <r>
      <rPr>
        <b/>
        <sz val="11"/>
        <rFont val="Aptos Narrow"/>
        <family val="2"/>
        <scheme val="minor"/>
      </rPr>
      <t xml:space="preserve">Actividad: </t>
    </r>
    <r>
      <rPr>
        <sz val="11"/>
        <rFont val="Aptos Narrow"/>
        <family val="2"/>
        <scheme val="minor"/>
      </rPr>
      <t>Coordinar con actores clave la validación del plan (prestadoras, INAPA, UGCP, etc.).</t>
    </r>
  </si>
  <si>
    <r>
      <rPr>
        <b/>
        <sz val="11"/>
        <rFont val="Aptos Narrow"/>
        <family val="2"/>
        <scheme val="minor"/>
      </rPr>
      <t xml:space="preserve">Actividad: </t>
    </r>
    <r>
      <rPr>
        <sz val="11"/>
        <rFont val="Aptos Narrow"/>
        <family val="2"/>
        <scheme val="minor"/>
      </rPr>
      <t>Presentar el plan de capacitación para su aprobación por las instancias correspondientes.</t>
    </r>
  </si>
  <si>
    <r>
      <rPr>
        <b/>
        <sz val="11"/>
        <rFont val="Aptos Narrow"/>
        <family val="2"/>
        <scheme val="minor"/>
      </rPr>
      <t xml:space="preserve">Actividad: </t>
    </r>
    <r>
      <rPr>
        <sz val="11"/>
        <rFont val="Aptos Narrow"/>
        <family val="2"/>
        <scheme val="minor"/>
      </rPr>
      <t>Contratar o coordinar a los facilitadores o entidades formadoras.</t>
    </r>
  </si>
  <si>
    <r>
      <rPr>
        <b/>
        <sz val="11"/>
        <rFont val="Aptos Narrow"/>
        <family val="2"/>
        <scheme val="minor"/>
      </rPr>
      <t xml:space="preserve">Actividad: </t>
    </r>
    <r>
      <rPr>
        <sz val="11"/>
        <rFont val="Aptos Narrow"/>
        <family val="2"/>
        <scheme val="minor"/>
      </rPr>
      <t>Organizar la logística de las capacitaciones (convocatoria, espacios, materiales, etc.).</t>
    </r>
  </si>
  <si>
    <r>
      <rPr>
        <b/>
        <sz val="11"/>
        <rFont val="Aptos Narrow"/>
        <family val="2"/>
        <scheme val="minor"/>
      </rPr>
      <t xml:space="preserve">Actividad: </t>
    </r>
    <r>
      <rPr>
        <sz val="11"/>
        <rFont val="Aptos Narrow"/>
        <family val="2"/>
        <scheme val="minor"/>
      </rPr>
      <t>Ejecutar las sesiones formativas según el cronograma establecido.</t>
    </r>
  </si>
  <si>
    <r>
      <rPr>
        <b/>
        <sz val="11"/>
        <rFont val="Aptos Narrow"/>
        <family val="2"/>
        <scheme val="minor"/>
      </rPr>
      <t xml:space="preserve">Actividad: </t>
    </r>
    <r>
      <rPr>
        <sz val="11"/>
        <rFont val="Aptos Narrow"/>
        <family val="2"/>
        <scheme val="minor"/>
      </rPr>
      <t>Registrar la asistencia y recolectar evidencias de las actividades realizadas.</t>
    </r>
  </si>
  <si>
    <r>
      <rPr>
        <b/>
        <sz val="11"/>
        <rFont val="Aptos Narrow"/>
        <family val="2"/>
        <scheme val="minor"/>
      </rPr>
      <t xml:space="preserve">Actividad: </t>
    </r>
    <r>
      <rPr>
        <sz val="11"/>
        <rFont val="Aptos Narrow"/>
        <family val="2"/>
        <scheme val="minor"/>
      </rPr>
      <t>Evaluar los resultados de la capacitación mediante encuestas y pruebas.</t>
    </r>
  </si>
  <si>
    <r>
      <rPr>
        <b/>
        <sz val="11"/>
        <rFont val="Aptos Narrow"/>
        <family val="2"/>
        <scheme val="minor"/>
      </rPr>
      <t>Actividad:</t>
    </r>
    <r>
      <rPr>
        <sz val="11"/>
        <rFont val="Aptos Narrow"/>
        <family val="2"/>
        <scheme val="minor"/>
      </rPr>
      <t xml:space="preserve"> Ajustar el plan según los resultados y retroalimentación obtenida.</t>
    </r>
  </si>
  <si>
    <r>
      <rPr>
        <b/>
        <sz val="11"/>
        <rFont val="Aptos Narrow"/>
        <family val="2"/>
        <scheme val="minor"/>
      </rPr>
      <t>Actividad:</t>
    </r>
    <r>
      <rPr>
        <sz val="11"/>
        <rFont val="Aptos Narrow"/>
        <family val="2"/>
        <scheme val="minor"/>
      </rPr>
      <t xml:space="preserve"> Elaborar el informe final de implementación con resultados y recomendaciones.</t>
    </r>
  </si>
  <si>
    <r>
      <rPr>
        <b/>
        <sz val="11"/>
        <rFont val="Aptos Narrow"/>
        <family val="2"/>
        <scheme val="minor"/>
      </rPr>
      <t>Actividad:</t>
    </r>
    <r>
      <rPr>
        <sz val="11"/>
        <rFont val="Aptos Narrow"/>
        <family val="2"/>
        <scheme val="minor"/>
      </rPr>
      <t xml:space="preserve"> Realizar diagnósticos técnicos, operativos e institucionales   y diseñar planes de mejora para la modernización y eficiencia de los prestadores de servicios APS.</t>
    </r>
  </si>
  <si>
    <r>
      <rPr>
        <b/>
        <sz val="11"/>
        <rFont val="Aptos Narrow"/>
        <family val="2"/>
        <scheme val="minor"/>
      </rPr>
      <t xml:space="preserve">Actividad: </t>
    </r>
    <r>
      <rPr>
        <sz val="11"/>
        <rFont val="Aptos Narrow"/>
        <family val="2"/>
        <scheme val="minor"/>
      </rPr>
      <t>Proporcionar apoyo diferenciado a través de sesiones de asistencia técnica (presenciales o virtuales) para el fortalecimiento de capacidades institucionales, estratégicas y de gestión alineadas al cumplimiento de los objetivos del programa.</t>
    </r>
  </si>
  <si>
    <r>
      <rPr>
        <b/>
        <sz val="11"/>
        <rFont val="Aptos Narrow"/>
        <family val="2"/>
        <scheme val="minor"/>
      </rPr>
      <t>Actividad:</t>
    </r>
    <r>
      <rPr>
        <sz val="11"/>
        <rFont val="Aptos Narrow"/>
        <family val="2"/>
        <scheme val="minor"/>
      </rPr>
      <t xml:space="preserve"> Diseñar un sistema de reporte homologado</t>
    </r>
  </si>
  <si>
    <r>
      <rPr>
        <b/>
        <sz val="11"/>
        <rFont val="Aptos Narrow"/>
        <family val="2"/>
        <scheme val="minor"/>
      </rPr>
      <t>Actividad:</t>
    </r>
    <r>
      <rPr>
        <sz val="11"/>
        <rFont val="Aptos Narrow"/>
        <family val="2"/>
        <scheme val="minor"/>
      </rPr>
      <t xml:space="preserve"> Sostener sesiones de intercambio de buenas prácticas</t>
    </r>
  </si>
  <si>
    <r>
      <rPr>
        <b/>
        <sz val="11"/>
        <rFont val="Aptos Narrow"/>
        <family val="2"/>
        <scheme val="minor"/>
      </rPr>
      <t>Actividad:</t>
    </r>
    <r>
      <rPr>
        <sz val="11"/>
        <rFont val="Aptos Narrow"/>
        <family val="2"/>
        <scheme val="minor"/>
      </rPr>
      <t xml:space="preserve"> Apoyar en el desarrollo de manuales para la gestión Ambiental y Social</t>
    </r>
  </si>
  <si>
    <r>
      <rPr>
        <b/>
        <sz val="11"/>
        <rFont val="Aptos Narrow"/>
        <family val="2"/>
        <scheme val="minor"/>
      </rPr>
      <t xml:space="preserve">Actividad: </t>
    </r>
    <r>
      <rPr>
        <sz val="11"/>
        <rFont val="Aptos Narrow"/>
        <family val="2"/>
        <scheme val="minor"/>
      </rPr>
      <t>Implementar estrategias que promuevan la participación efectiva de los ciudadanos beneficiarios de manera permanente, particularmente en materia de mecanismos de denuncia, priorizando grupos vulnerables.</t>
    </r>
  </si>
  <si>
    <r>
      <rPr>
        <b/>
        <sz val="11"/>
        <rFont val="Aptos Narrow"/>
        <family val="2"/>
        <scheme val="minor"/>
      </rPr>
      <t xml:space="preserve">Actividad: </t>
    </r>
    <r>
      <rPr>
        <sz val="11"/>
        <rFont val="Aptos Narrow"/>
        <family val="2"/>
        <scheme val="minor"/>
      </rPr>
      <t>Proponer la creación, modernizacion y eficientizacion de la estructura institucional necesaria correspondiente a la gestión ambiental y social, gestiones de riesgo, seguridad y salud, tanto a lo interno de las instituciones, así como a lo correspondiente a la ejecución de proyectos; asegurando la capacidad para implementar, cumplir, y hacer cumplir las disposiciones legales, reglamentarias, y normativas, con mayor claridad en las competencias.</t>
    </r>
  </si>
  <si>
    <r>
      <rPr>
        <b/>
        <sz val="11"/>
        <rFont val="Aptos Narrow"/>
        <family val="2"/>
        <scheme val="minor"/>
      </rPr>
      <t xml:space="preserve">Actividad: </t>
    </r>
    <r>
      <rPr>
        <sz val="11"/>
        <rFont val="Aptos Narrow"/>
        <family val="2"/>
        <scheme val="minor"/>
      </rPr>
      <t>Recomendar cantidad y perfiles para la dotación de personal ambiental y social calificados en función de las necesidades y de acuerdo con su rol en el programa.</t>
    </r>
  </si>
  <si>
    <r>
      <rPr>
        <b/>
        <sz val="11"/>
        <rFont val="Aptos Narrow"/>
        <family val="2"/>
        <scheme val="minor"/>
      </rPr>
      <t xml:space="preserve">Actividad: </t>
    </r>
    <r>
      <rPr>
        <sz val="11"/>
        <rFont val="Aptos Narrow"/>
        <family val="2"/>
        <scheme val="minor"/>
      </rPr>
      <t>Reforzar los requerimientos ambientales y sociales en los pliegos de licitación para los contratistas y la supervisión de obras, incluyendo códigos de conducta que establezcan medidas para prevenir el acoso, la explotación y el abuso sexual.</t>
    </r>
  </si>
  <si>
    <r>
      <rPr>
        <b/>
        <sz val="11"/>
        <rFont val="Aptos Narrow"/>
        <family val="2"/>
        <scheme val="minor"/>
      </rPr>
      <t>Actividad:</t>
    </r>
    <r>
      <rPr>
        <sz val="11"/>
        <rFont val="Aptos Narrow"/>
        <family val="2"/>
        <scheme val="minor"/>
      </rPr>
      <t xml:space="preserve"> Promover la participación de las prestadoras en Equal Agua</t>
    </r>
  </si>
  <si>
    <r>
      <rPr>
        <b/>
        <sz val="11"/>
        <rFont val="Aptos Narrow"/>
        <family val="2"/>
        <scheme val="minor"/>
      </rPr>
      <t xml:space="preserve">Actividad: </t>
    </r>
    <r>
      <rPr>
        <sz val="11"/>
        <rFont val="Aptos Narrow"/>
        <family val="2"/>
        <scheme val="minor"/>
      </rPr>
      <t>Realizar actividades de fortalecimiento de capacidades individuales, técnicas e institucionales para la institución que funja como Nuevo Rector de las Aguas</t>
    </r>
  </si>
  <si>
    <r>
      <rPr>
        <b/>
        <sz val="11"/>
        <rFont val="Aptos Narrow"/>
        <family val="2"/>
        <scheme val="minor"/>
      </rPr>
      <t>Actividad:</t>
    </r>
    <r>
      <rPr>
        <sz val="11"/>
        <rFont val="Aptos Narrow"/>
        <family val="2"/>
        <scheme val="minor"/>
      </rPr>
      <t xml:space="preserve"> Formular una propuesta de estructura orgánica para el Nuevo Rector de las Aguas</t>
    </r>
  </si>
  <si>
    <r>
      <rPr>
        <b/>
        <sz val="11"/>
        <rFont val="Aptos Narrow"/>
        <family val="2"/>
        <scheme val="minor"/>
      </rPr>
      <t>Actividad:</t>
    </r>
    <r>
      <rPr>
        <sz val="11"/>
        <rFont val="Aptos Narrow"/>
        <family val="2"/>
        <scheme val="minor"/>
      </rPr>
      <t xml:space="preserve"> Realizar talleres / mesas de socialización con los actores clave del sector</t>
    </r>
  </si>
  <si>
    <r>
      <rPr>
        <b/>
        <sz val="11"/>
        <rFont val="Aptos Narrow"/>
        <family val="2"/>
        <scheme val="minor"/>
      </rPr>
      <t>Actividad:</t>
    </r>
    <r>
      <rPr>
        <sz val="11"/>
        <rFont val="Aptos Narrow"/>
        <family val="2"/>
        <scheme val="minor"/>
      </rPr>
      <t xml:space="preserve"> Realizar un Seminario internacional de buenas prácticas internacionales sobre Gestión de Recursos Hídricos.</t>
    </r>
  </si>
  <si>
    <r>
      <rPr>
        <b/>
        <sz val="11"/>
        <rFont val="Aptos Narrow"/>
        <family val="2"/>
        <scheme val="minor"/>
      </rPr>
      <t xml:space="preserve">Actividad: </t>
    </r>
    <r>
      <rPr>
        <sz val="11"/>
        <rFont val="Aptos Narrow"/>
        <family val="2"/>
        <scheme val="minor"/>
      </rPr>
      <t>Sistematizar la información y experiencias presentadas en el seminario en un producto de conocimiento.</t>
    </r>
  </si>
  <si>
    <r>
      <rPr>
        <b/>
        <sz val="11"/>
        <rFont val="Aptos Narrow"/>
        <family val="2"/>
        <scheme val="minor"/>
      </rPr>
      <t xml:space="preserve">Actividad: </t>
    </r>
    <r>
      <rPr>
        <sz val="11"/>
        <rFont val="Aptos Narrow"/>
        <family val="2"/>
        <scheme val="minor"/>
      </rPr>
      <t>Difundir el catálogo de buenas prácticas entre las instituciones y actores relevantes del sector hídrico.</t>
    </r>
  </si>
  <si>
    <t>---</t>
  </si>
  <si>
    <r>
      <t xml:space="preserve">Producto: </t>
    </r>
    <r>
      <rPr>
        <sz val="11"/>
        <rFont val="Aptos Narrow"/>
        <family val="2"/>
        <scheme val="minor"/>
      </rPr>
      <t>Marco metodológico para el monitoreo del desempeño institucional de las prestadoras de servicios de agua potable y saneamiento del programa, formulado e implementado.</t>
    </r>
  </si>
  <si>
    <r>
      <t>Producto:</t>
    </r>
    <r>
      <rPr>
        <sz val="11"/>
        <rFont val="Aptos Narrow"/>
        <family val="2"/>
        <scheme val="minor"/>
      </rPr>
      <t xml:space="preserve"> Sistema de Monitoreo del Proyecto diseñado e implementado por la UGCP</t>
    </r>
  </si>
  <si>
    <r>
      <t xml:space="preserve">Producto: </t>
    </r>
    <r>
      <rPr>
        <sz val="11"/>
        <rFont val="Aptos Narrow"/>
        <family val="2"/>
        <scheme val="minor"/>
      </rPr>
      <t>Plan Operativo Anual (POA) del proyecto IPF-MEPYD formulado, validado e implementado, que define las acciones, metas e indicadores anuales en línea con los objetivos del programa.</t>
    </r>
  </si>
  <si>
    <r>
      <t xml:space="preserve">Producto: </t>
    </r>
    <r>
      <rPr>
        <sz val="11"/>
        <rFont val="Aptos Narrow"/>
        <family val="2"/>
        <scheme val="minor"/>
      </rPr>
      <t>Presupuesto Anual del Proyecto IPF-MEPyD formulado, validado y ejecutado</t>
    </r>
  </si>
  <si>
    <r>
      <t xml:space="preserve">Producto: </t>
    </r>
    <r>
      <rPr>
        <sz val="11"/>
        <rFont val="Aptos Narrow"/>
        <family val="2"/>
        <scheme val="minor"/>
      </rPr>
      <t>Plan de Adquisiciones formulado e implementado por la UGCP.</t>
    </r>
  </si>
  <si>
    <r>
      <t xml:space="preserve">Producto: </t>
    </r>
    <r>
      <rPr>
        <sz val="11"/>
        <rFont val="Aptos Narrow"/>
        <family val="2"/>
        <scheme val="minor"/>
      </rPr>
      <t>Formulario Financiero de Presentación de Gastos (SOE) elaborado y entregado</t>
    </r>
  </si>
  <si>
    <r>
      <t xml:space="preserve">Producto: </t>
    </r>
    <r>
      <rPr>
        <sz val="11"/>
        <rFont val="Aptos Narrow"/>
        <family val="2"/>
        <scheme val="minor"/>
      </rPr>
      <t>Informe Financiero Interino (IFR) elaborado y validado.</t>
    </r>
  </si>
  <si>
    <r>
      <t xml:space="preserve">Producto: </t>
    </r>
    <r>
      <rPr>
        <sz val="11"/>
        <rFont val="Aptos Narrow"/>
        <family val="2"/>
        <scheme val="minor"/>
      </rPr>
      <t>Solicitud de Desembolso IPF-MEpyD</t>
    </r>
  </si>
  <si>
    <r>
      <t xml:space="preserve">Producto: </t>
    </r>
    <r>
      <rPr>
        <sz val="11"/>
        <rFont val="Aptos Narrow"/>
        <family val="2"/>
        <scheme val="minor"/>
      </rPr>
      <t>Auditoría Financiera Externa</t>
    </r>
  </si>
  <si>
    <r>
      <t>Producto:</t>
    </r>
    <r>
      <rPr>
        <sz val="11"/>
        <rFont val="Aptos Narrow"/>
        <family val="2"/>
        <scheme val="minor"/>
      </rPr>
      <t xml:space="preserve"> Marco Ambiental y Social (MAS)</t>
    </r>
  </si>
  <si>
    <r>
      <t xml:space="preserve">Producto: </t>
    </r>
    <r>
      <rPr>
        <sz val="11"/>
        <rFont val="Aptos Narrow"/>
        <family val="2"/>
        <scheme val="minor"/>
      </rPr>
      <t>Operatividad de la Unidad de Gestión y Coordinación del Proyecto UGCP</t>
    </r>
  </si>
  <si>
    <r>
      <t xml:space="preserve">Producto: </t>
    </r>
    <r>
      <rPr>
        <sz val="11"/>
        <rFont val="Aptos Narrow"/>
        <family val="2"/>
        <scheme val="minor"/>
      </rPr>
      <t>Plan de capacitaciones para las prestadoras de servicios APS desarrollado e implementado</t>
    </r>
  </si>
  <si>
    <r>
      <t xml:space="preserve">Producto: </t>
    </r>
    <r>
      <rPr>
        <sz val="11"/>
        <rFont val="Aptos Narrow"/>
        <family val="2"/>
        <scheme val="minor"/>
      </rPr>
      <t xml:space="preserve">Asesoria técnicas y acompañamientos proporcionados a las prestadoras APS </t>
    </r>
  </si>
  <si>
    <r>
      <t xml:space="preserve">Producto: </t>
    </r>
    <r>
      <rPr>
        <sz val="11"/>
        <rFont val="Aptos Narrow"/>
        <family val="2"/>
        <scheme val="minor"/>
      </rPr>
      <t>Sistema de Gestion Ambiental y Social (SGAS)</t>
    </r>
  </si>
  <si>
    <r>
      <t xml:space="preserve">Producto: </t>
    </r>
    <r>
      <rPr>
        <sz val="11"/>
        <rFont val="Aptos Narrow"/>
        <family val="2"/>
        <scheme val="minor"/>
      </rPr>
      <t>Apoyo proporcionado para  la creación de la unidad de gestión A&amp;S y equidad de género en CORAAVEGA , &amp; la modernización de la estructura A&amp;S en CORAASAN e INAPA</t>
    </r>
  </si>
  <si>
    <r>
      <t>Producto:</t>
    </r>
    <r>
      <rPr>
        <sz val="11"/>
        <rFont val="Aptos Narrow"/>
        <family val="2"/>
        <scheme val="minor"/>
      </rPr>
      <t xml:space="preserve"> Sistema Equal Agua implementadas por las prestadoras</t>
    </r>
  </si>
  <si>
    <r>
      <t xml:space="preserve">Producto: </t>
    </r>
    <r>
      <rPr>
        <sz val="11"/>
        <rFont val="Aptos Narrow"/>
        <family val="2"/>
        <scheme val="minor"/>
      </rPr>
      <t>Fortalecimiento del Sistema de Información de la Gestión Financiera (SIGEF)</t>
    </r>
  </si>
  <si>
    <r>
      <t xml:space="preserve">Producto: </t>
    </r>
    <r>
      <rPr>
        <sz val="11"/>
        <rFont val="Aptos Narrow"/>
        <family val="2"/>
        <scheme val="minor"/>
      </rPr>
      <t>Fortalecimiento del Sistema Nacional de Inversión Pública (SNIP)</t>
    </r>
  </si>
  <si>
    <r>
      <t xml:space="preserve">Producto: </t>
    </r>
    <r>
      <rPr>
        <sz val="11"/>
        <rFont val="Aptos Narrow"/>
        <family val="2"/>
        <scheme val="minor"/>
      </rPr>
      <t>Reglamento de aplicación de la ley desarrollado y socializado con los actores involucrados del sector</t>
    </r>
  </si>
  <si>
    <r>
      <t xml:space="preserve">Producto: </t>
    </r>
    <r>
      <rPr>
        <sz val="11"/>
        <rFont val="Aptos Narrow"/>
        <family val="2"/>
        <scheme val="minor"/>
      </rPr>
      <t>Catálogo de buenas prácticas internacionales en gestión de recursos hídricos elaborado y difundido entre instituciones clave vinculadas al sector</t>
    </r>
  </si>
  <si>
    <r>
      <t>Producto:</t>
    </r>
    <r>
      <rPr>
        <sz val="11"/>
        <rFont val="Aptos Narrow"/>
        <family val="2"/>
        <scheme val="minor"/>
      </rPr>
      <t xml:space="preserve"> Plan de fortalecimiento de las capacidades (técnicas, humanas, de infraestructura y operativas) del INDRHI implementado para la mejora de la GRH</t>
    </r>
  </si>
  <si>
    <t>Item</t>
  </si>
  <si>
    <t>2.2.8.7.01</t>
  </si>
  <si>
    <t>2.2.8.7.03</t>
  </si>
  <si>
    <t>2.2.8.7.06</t>
  </si>
  <si>
    <t>2.2.8.7.05</t>
  </si>
  <si>
    <t>31/04/2026</t>
  </si>
  <si>
    <t>1.1. Componente: Supervisión, Coordinación, Seguimiento y Evaluación del programa de Modernización del Sector APS</t>
  </si>
  <si>
    <t xml:space="preserve">1.2. Componente: Asesorías técnicas y acompañamientos proporcionados a las prestadoras APS </t>
  </si>
  <si>
    <t>2.1. Componente: Mejoramiento del marco Legal e Institucional</t>
  </si>
  <si>
    <t>2. Resultado: Incrementadas las capacidades y políticas institucionales de la Gestión de Recursos Hídricos</t>
  </si>
  <si>
    <t>1. Resultado: Fortalecida la capacidad institucional para la gestión, supervisión y evaluación del Programa de Modernización del Sector APS, promoviendo la generación y retención de conocimientos a nivel nacional.</t>
  </si>
  <si>
    <t>1.2.5.1.1.</t>
  </si>
  <si>
    <t>Implementación de una Mesa de Intercambio de Buenas Prácticas en Materia de Género</t>
  </si>
  <si>
    <t>Saldo</t>
  </si>
  <si>
    <t>Tope Presupuestario 2026</t>
  </si>
  <si>
    <t>Programación 2026</t>
  </si>
  <si>
    <t>Tope Presupuestario Estimado 2027</t>
  </si>
  <si>
    <t>Programación 2027</t>
  </si>
  <si>
    <t>Costo</t>
  </si>
  <si>
    <t>1.1.9.3.2.</t>
  </si>
  <si>
    <t xml:space="preserve"> </t>
  </si>
  <si>
    <t>|</t>
  </si>
  <si>
    <t>1.1.1.1.
1.1.2.1.
1.1.3.4.
1.1.5.1</t>
  </si>
  <si>
    <t>Plan de Ejecución del IPF-MHE, actualizado 2026-2027</t>
  </si>
  <si>
    <t xml:space="preserve">SNIP 16261 - FORTALECIMIENTO INTERINSTITUCIONAL PARA LA MODERNIZACIÓN DEL SECTOR AGUA POTABLE Y SANEAMIENTO DE LA REPÚBLICA DOMINICANA	</t>
  </si>
  <si>
    <t>Adquisiciones 2026-2027</t>
  </si>
  <si>
    <t>Resumen Triple Restricción</t>
  </si>
  <si>
    <t>Matriz de Triple Restricción</t>
  </si>
  <si>
    <t>Estructura de Desglose de Trabajo</t>
  </si>
  <si>
    <t>Planilla Salarial Puestos de Cargo de la Unidad de Gestión y Coordinación del Programa de Modernización del Sector APS 2025</t>
  </si>
  <si>
    <t xml:space="preserve">Planilla Salarial de Cargo de la Unidad de Gestión y Coordinación del Programa de Modernización del Sector APS </t>
  </si>
  <si>
    <t>SNIP 16261 - FORTALECIMIENTO INTERINSTITUCIONAL PARA LA MODERNIZACIÓN DEL SECTOR AGUA POTABLE Y SANEAMIENTO DE LA REPÚBLICA DOMINICANA</t>
  </si>
  <si>
    <t>2.2.5.3.02</t>
  </si>
  <si>
    <t>2.2.5.1.01</t>
  </si>
  <si>
    <t>2.6.1.1.01
2.6.1.3.01
2.6.1.9.01</t>
  </si>
  <si>
    <t>2.3.3.3.01</t>
  </si>
  <si>
    <t>2.3.9.1.01
2.3.9.1.02</t>
  </si>
  <si>
    <t>Si</t>
  </si>
  <si>
    <t>No</t>
  </si>
  <si>
    <t>Estatus STEP</t>
  </si>
  <si>
    <t>----</t>
  </si>
  <si>
    <t>Programación de Desembolso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</si>
</sst>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Red]\-&quot;$&quot;#,##0.00"/>
    <numFmt numFmtId="165" formatCode="_-&quot;$&quot;* #,##0.00_-;\-&quot;$&quot;* #,##0.00_-;_-&quot;$&quot;* &quot;-&quot;??_-;_-@_-"/>
    <numFmt numFmtId="166" formatCode="_-* #,##0.00_-;\-* #,##0.00_-;_-* &quot;-&quot;??_-;_-@_-"/>
    <numFmt numFmtId="167" formatCode="[$DOP]\ #,##0.00"/>
    <numFmt numFmtId="168" formatCode="_-[$USD]\ * #,##0.00_-;\-[$USD]\ * #,##0.00_-;_-[$USD]\ * &quot;-&quot;??_-;_-@_-"/>
    <numFmt numFmtId="169" formatCode="&quot;$&quot;#,##0.00"/>
    <numFmt numFmtId="170" formatCode="_-&quot;$&quot;* #,##0_-;\-&quot;$&quot;* #,##0_-;_-&quot;$&quot;* &quot;-&quot;??_-;_-@_-"/>
    <numFmt numFmtId="171" formatCode="[$USD]\ #,##0.00"/>
    <numFmt numFmtId="172" formatCode="_-[$DOP]\ * #,##0.00_-;\-[$DOP]\ * #,##0.00_-;_-[$DOP]\ * &quot;-&quot;??_-;_-@_-"/>
    <numFmt numFmtId="173" formatCode="&quot;$&quot;\ \ \ #,##0.00"/>
  </numFmts>
  <fonts count="50"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1"/>
      <name val="Aptos Narrow"/>
      <family val="2"/>
      <scheme val="minor"/>
    </font>
    <font>
      <sz val="11"/>
      <color rgb="FF000000"/>
      <name val="Calibri"/>
      <family val="2"/>
    </font>
    <font>
      <sz val="10"/>
      <color rgb="FF000000"/>
      <name val="Calibri"/>
      <family val="2"/>
    </font>
    <font>
      <sz val="11"/>
      <color theme="1"/>
      <name val="Aptos Narrow"/>
      <family val="2"/>
      <scheme val="minor"/>
    </font>
    <font>
      <sz val="11"/>
      <color theme="0"/>
      <name val="Aptos Narrow"/>
      <family val="2"/>
      <scheme val="minor"/>
    </font>
    <font>
      <sz val="8"/>
      <name val="Aptos Narrow"/>
      <family val="2"/>
      <scheme val="minor"/>
    </font>
    <font>
      <i/>
      <sz val="11"/>
      <color theme="1"/>
      <name val="Aptos Narrow"/>
      <family val="2"/>
      <scheme val="minor"/>
    </font>
    <font>
      <b/>
      <i/>
      <sz val="11"/>
      <color theme="1"/>
      <name val="Aptos Narrow"/>
      <family val="2"/>
      <scheme val="minor"/>
    </font>
    <font>
      <i/>
      <sz val="11"/>
      <color rgb="FF000000"/>
      <name val="Calibri"/>
      <family val="2"/>
    </font>
    <font>
      <sz val="11"/>
      <name val="Aptos Narrow"/>
      <family val="2"/>
      <scheme val="minor"/>
    </font>
    <font>
      <sz val="11"/>
      <color theme="1"/>
      <name val="Aptos Display"/>
      <family val="2"/>
      <scheme val="major"/>
    </font>
    <font>
      <sz val="11"/>
      <name val="Aptos Display"/>
      <family val="2"/>
      <scheme val="major"/>
    </font>
    <font>
      <sz val="10"/>
      <color rgb="FF000000"/>
      <name val="Aptos Display"/>
      <family val="2"/>
      <scheme val="major"/>
    </font>
    <font>
      <b/>
      <sz val="18"/>
      <color theme="1"/>
      <name val="Aptos Narrow"/>
      <family val="2"/>
      <scheme val="minor"/>
    </font>
    <font>
      <b/>
      <sz val="18"/>
      <color theme="0"/>
      <name val="Aptos Narrow"/>
      <family val="2"/>
      <scheme val="minor"/>
    </font>
    <font>
      <sz val="18"/>
      <color theme="1"/>
      <name val="Aptos Narrow"/>
      <family val="2"/>
      <scheme val="minor"/>
    </font>
    <font>
      <b/>
      <sz val="22"/>
      <color theme="1"/>
      <name val="Aptos Narrow"/>
      <family val="2"/>
      <scheme val="minor"/>
    </font>
    <font>
      <b/>
      <sz val="20"/>
      <color theme="0"/>
      <name val="Aptos Narrow"/>
      <family val="2"/>
      <scheme val="minor"/>
    </font>
    <font>
      <b/>
      <sz val="22"/>
      <color theme="0"/>
      <name val="Aptos Narrow"/>
      <family val="2"/>
      <scheme val="minor"/>
    </font>
    <font>
      <b/>
      <sz val="12"/>
      <color theme="0"/>
      <name val="Aptos Display"/>
      <family val="2"/>
      <scheme val="major"/>
    </font>
    <font>
      <sz val="12"/>
      <color theme="1"/>
      <name val="Aptos Narrow"/>
      <family val="2"/>
      <scheme val="minor"/>
    </font>
    <font>
      <sz val="12"/>
      <name val="Aptos Display"/>
      <family val="2"/>
      <scheme val="major"/>
    </font>
    <font>
      <b/>
      <sz val="12"/>
      <name val="Aptos Display"/>
      <family val="2"/>
      <scheme val="major"/>
    </font>
    <font>
      <b/>
      <sz val="12"/>
      <color rgb="FF000000"/>
      <name val="Aptos Display"/>
      <family val="2"/>
      <scheme val="major"/>
    </font>
    <font>
      <sz val="12"/>
      <color rgb="FF000000"/>
      <name val="Aptos Display"/>
      <family val="2"/>
      <scheme val="major"/>
    </font>
    <font>
      <sz val="12"/>
      <color theme="1"/>
      <name val="Aptos Display"/>
      <family val="2"/>
      <scheme val="major"/>
    </font>
    <font>
      <b/>
      <sz val="12"/>
      <color theme="1"/>
      <name val="Aptos Display"/>
      <family val="2"/>
      <scheme val="major"/>
    </font>
    <font>
      <b/>
      <sz val="12"/>
      <color theme="1"/>
      <name val="Aptos Narrow"/>
      <family val="2"/>
      <scheme val="minor"/>
    </font>
    <font>
      <sz val="12"/>
      <color rgb="FF00B050"/>
      <name val="Aptos Display"/>
      <family val="2"/>
      <scheme val="major"/>
    </font>
    <font>
      <sz val="12"/>
      <color theme="6"/>
      <name val="Aptos Display"/>
      <family val="2"/>
      <scheme val="major"/>
    </font>
    <font>
      <b/>
      <sz val="11"/>
      <color theme="6"/>
      <name val="Aptos Narrow"/>
      <family val="2"/>
      <scheme val="minor"/>
    </font>
    <font>
      <sz val="11"/>
      <color theme="1" tint="0.14999847407452621"/>
      <name val="Aptos Narrow"/>
      <family val="2"/>
      <scheme val="minor"/>
    </font>
    <font>
      <sz val="14"/>
      <color theme="1"/>
      <name val="Aptos Narrow"/>
      <family val="2"/>
      <scheme val="minor"/>
    </font>
    <font>
      <b/>
      <sz val="11"/>
      <name val="Aptos Narrow"/>
      <family val="2"/>
      <scheme val="minor"/>
    </font>
    <font>
      <b/>
      <sz val="14"/>
      <color theme="1"/>
      <name val="Aptos Narrow"/>
      <family val="2"/>
      <scheme val="minor"/>
    </font>
    <font>
      <b/>
      <sz val="12"/>
      <color theme="0"/>
      <name val="Aptos Narrow"/>
      <family val="2"/>
      <scheme val="minor"/>
    </font>
    <font>
      <sz val="12"/>
      <color theme="0"/>
      <name val="Aptos Narrow"/>
      <family val="2"/>
      <scheme val="minor"/>
    </font>
    <font>
      <sz val="11"/>
      <color rgb="FF006100"/>
      <name val="Aptos Narrow"/>
      <family val="2"/>
      <scheme val="minor"/>
    </font>
    <font>
      <b/>
      <i/>
      <sz val="11"/>
      <name val="Aptos Narrow"/>
      <family val="2"/>
      <scheme val="minor"/>
    </font>
    <font>
      <i/>
      <sz val="11"/>
      <name val="Aptos Narrow"/>
      <family val="2"/>
      <scheme val="minor"/>
    </font>
    <font>
      <i/>
      <sz val="11"/>
      <name val="Calibri"/>
      <family val="2"/>
    </font>
    <font>
      <sz val="11"/>
      <color rgb="FF3F3F76"/>
      <name val="Aptos Narrow"/>
      <family val="2"/>
      <scheme val="minor"/>
    </font>
    <font>
      <b/>
      <sz val="11"/>
      <color rgb="FFFA7D00"/>
      <name val="Aptos Narrow"/>
      <family val="2"/>
      <scheme val="minor"/>
    </font>
    <font>
      <b/>
      <sz val="11"/>
      <color rgb="FF3F3F76"/>
      <name val="Aptos Narrow"/>
      <family val="2"/>
      <scheme val="minor"/>
    </font>
    <font>
      <b/>
      <sz val="14"/>
      <name val="Aptos Narrow"/>
      <family val="2"/>
      <scheme val="minor"/>
    </font>
    <font>
      <b/>
      <sz val="24"/>
      <color theme="1"/>
      <name val="Aptos Narrow"/>
      <family val="2"/>
      <scheme val="minor"/>
    </font>
    <font>
      <sz val="11"/>
      <color rgb="FF9C0006"/>
      <name val="Aptos Narrow"/>
      <family val="2"/>
      <scheme val="minor"/>
    </font>
  </fonts>
  <fills count="40">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3" tint="9.9978637043366805E-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0"/>
        <bgColor rgb="FF000000"/>
      </patternFill>
    </fill>
    <fill>
      <patternFill patternType="solid">
        <fgColor theme="3"/>
        <bgColor indexed="64"/>
      </patternFill>
    </fill>
    <fill>
      <patternFill patternType="solid">
        <fgColor theme="5"/>
        <bgColor indexed="64"/>
      </patternFill>
    </fill>
    <fill>
      <patternFill patternType="solid">
        <fgColor rgb="FFE0E0E0"/>
      </patternFill>
    </fill>
    <fill>
      <patternFill patternType="solid">
        <fgColor theme="3"/>
        <bgColor rgb="FFD9E2F3"/>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8"/>
        <bgColor indexed="64"/>
      </patternFill>
    </fill>
    <fill>
      <patternFill patternType="solid">
        <fgColor theme="6"/>
        <bgColor indexed="64"/>
      </patternFill>
    </fill>
    <fill>
      <patternFill patternType="solid">
        <fgColor rgb="FFC00000"/>
        <bgColor indexed="64"/>
      </patternFill>
    </fill>
    <fill>
      <patternFill patternType="solid">
        <fgColor rgb="FFFFC1C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50"/>
        <bgColor indexed="64"/>
      </patternFill>
    </fill>
    <fill>
      <patternFill patternType="solid">
        <fgColor rgb="FFC6EFCE"/>
      </patternFill>
    </fill>
    <fill>
      <patternFill patternType="solid">
        <fgColor theme="8" tint="-0.499984740745262"/>
        <bgColor indexed="64"/>
      </patternFill>
    </fill>
    <fill>
      <patternFill patternType="solid">
        <fgColor rgb="FFFFCC99"/>
      </patternFill>
    </fill>
    <fill>
      <patternFill patternType="solid">
        <fgColor rgb="FFF2F2F2"/>
      </patternFill>
    </fill>
    <fill>
      <patternFill patternType="solid">
        <fgColor theme="5"/>
      </patternFill>
    </fill>
    <fill>
      <patternFill patternType="solid">
        <fgColor rgb="FFFF8181"/>
        <bgColor indexed="64"/>
      </patternFill>
    </fill>
    <fill>
      <patternFill patternType="solid">
        <fgColor rgb="FFFFC7CE"/>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medium">
        <color indexed="64"/>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right style="thin">
        <color indexed="64"/>
      </right>
      <top style="medium">
        <color theme="0"/>
      </top>
      <bottom style="thin">
        <color indexed="64"/>
      </bottom>
      <diagonal/>
    </border>
    <border>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style="thin">
        <color indexed="64"/>
      </left>
      <right/>
      <top style="thin">
        <color indexed="64"/>
      </top>
      <bottom style="medium">
        <color theme="0"/>
      </bottom>
      <diagonal/>
    </border>
    <border>
      <left style="medium">
        <color theme="0"/>
      </left>
      <right style="thin">
        <color indexed="64"/>
      </right>
      <top/>
      <bottom style="thin">
        <color indexed="64"/>
      </bottom>
      <diagonal/>
    </border>
    <border>
      <left style="thin">
        <color indexed="64"/>
      </left>
      <right style="medium">
        <color theme="0"/>
      </right>
      <top/>
      <bottom style="thin">
        <color indexed="64"/>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0" fontId="40" fillId="33" borderId="0" applyNumberFormat="0" applyBorder="0" applyAlignment="0" applyProtection="0"/>
    <xf numFmtId="0" fontId="44" fillId="35" borderId="102" applyNumberFormat="0" applyAlignment="0" applyProtection="0"/>
    <xf numFmtId="0" fontId="45" fillId="36" borderId="102" applyNumberFormat="0" applyAlignment="0" applyProtection="0"/>
    <xf numFmtId="0" fontId="7" fillId="37" borderId="0" applyNumberFormat="0" applyBorder="0" applyAlignment="0" applyProtection="0"/>
    <xf numFmtId="0" fontId="49" fillId="39" borderId="0" applyNumberFormat="0" applyBorder="0" applyAlignment="0" applyProtection="0"/>
  </cellStyleXfs>
  <cellXfs count="1222">
    <xf numFmtId="0" fontId="0" fillId="0" borderId="0" xfId="0"/>
    <xf numFmtId="0" fontId="0" fillId="0" borderId="0" xfId="0"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 fillId="7" borderId="4" xfId="0" applyFont="1" applyFill="1" applyBorder="1" applyAlignment="1">
      <alignment horizontal="center" vertical="center" wrapText="1"/>
    </xf>
    <xf numFmtId="0" fontId="5" fillId="4" borderId="13"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2" fillId="7" borderId="28" xfId="0" applyFont="1" applyFill="1" applyBorder="1" applyAlignment="1">
      <alignment horizontal="left" vertical="center" wrapText="1"/>
    </xf>
    <xf numFmtId="0" fontId="2" fillId="7" borderId="29" xfId="0" applyFont="1" applyFill="1" applyBorder="1" applyAlignment="1">
      <alignment horizontal="left" vertical="center" wrapText="1"/>
    </xf>
    <xf numFmtId="0" fontId="2" fillId="7" borderId="29"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14" borderId="1" xfId="0" applyFont="1" applyFill="1" applyBorder="1" applyAlignment="1">
      <alignment vertical="center"/>
    </xf>
    <xf numFmtId="0" fontId="1" fillId="15" borderId="1" xfId="0" applyFont="1" applyFill="1" applyBorder="1" applyAlignment="1">
      <alignment vertical="center"/>
    </xf>
    <xf numFmtId="0" fontId="0" fillId="3" borderId="1" xfId="0" applyFill="1" applyBorder="1" applyAlignment="1">
      <alignment vertical="center"/>
    </xf>
    <xf numFmtId="0" fontId="1" fillId="13" borderId="1" xfId="0" applyFont="1" applyFill="1" applyBorder="1" applyAlignment="1">
      <alignment vertical="center" wrapText="1"/>
    </xf>
    <xf numFmtId="0" fontId="2" fillId="2" borderId="1" xfId="0" applyFont="1" applyFill="1" applyBorder="1" applyAlignment="1">
      <alignment vertical="center" wrapText="1"/>
    </xf>
    <xf numFmtId="0" fontId="2" fillId="12" borderId="26" xfId="0" applyFont="1" applyFill="1" applyBorder="1" applyAlignment="1">
      <alignment horizontal="center" vertical="center" wrapText="1"/>
    </xf>
    <xf numFmtId="0" fontId="0" fillId="0" borderId="0" xfId="0" applyAlignment="1">
      <alignment horizontal="center" vertical="center"/>
    </xf>
    <xf numFmtId="0" fontId="1" fillId="15" borderId="12" xfId="0" applyFont="1" applyFill="1" applyBorder="1" applyAlignment="1">
      <alignment vertical="center"/>
    </xf>
    <xf numFmtId="0" fontId="1" fillId="15" borderId="13" xfId="0" applyFont="1" applyFill="1" applyBorder="1" applyAlignment="1">
      <alignment vertical="center"/>
    </xf>
    <xf numFmtId="0" fontId="0" fillId="3" borderId="13" xfId="0" applyFill="1" applyBorder="1" applyAlignment="1">
      <alignment horizontal="left" vertical="center" wrapText="1"/>
    </xf>
    <xf numFmtId="0" fontId="0" fillId="4" borderId="13" xfId="0" applyFill="1" applyBorder="1" applyAlignment="1">
      <alignment horizontal="left" vertical="center" wrapText="1"/>
    </xf>
    <xf numFmtId="0" fontId="0" fillId="3" borderId="16" xfId="0" applyFill="1" applyBorder="1" applyAlignment="1">
      <alignment horizontal="left" vertical="center" wrapText="1"/>
    </xf>
    <xf numFmtId="0" fontId="1" fillId="14" borderId="12" xfId="0" applyFont="1" applyFill="1" applyBorder="1" applyAlignment="1">
      <alignment horizontal="right" vertical="center"/>
    </xf>
    <xf numFmtId="0" fontId="1" fillId="15" borderId="12" xfId="0" applyFont="1" applyFill="1" applyBorder="1" applyAlignment="1">
      <alignment horizontal="right" vertical="center"/>
    </xf>
    <xf numFmtId="0" fontId="2" fillId="2" borderId="12" xfId="0" applyFont="1" applyFill="1" applyBorder="1" applyAlignment="1">
      <alignment horizontal="right" vertical="center"/>
    </xf>
    <xf numFmtId="0" fontId="2" fillId="3" borderId="12" xfId="0" applyFont="1" applyFill="1" applyBorder="1" applyAlignment="1">
      <alignment horizontal="right" vertical="center"/>
    </xf>
    <xf numFmtId="165" fontId="1" fillId="14" borderId="13" xfId="1" applyFont="1" applyFill="1" applyBorder="1" applyAlignment="1">
      <alignment vertical="center"/>
    </xf>
    <xf numFmtId="165" fontId="2" fillId="2" borderId="13" xfId="1" applyFont="1" applyFill="1" applyBorder="1" applyAlignment="1">
      <alignment vertical="center"/>
    </xf>
    <xf numFmtId="165" fontId="0" fillId="3" borderId="13" xfId="1" applyFont="1" applyFill="1" applyBorder="1" applyAlignment="1">
      <alignment vertical="center"/>
    </xf>
    <xf numFmtId="165" fontId="0" fillId="3" borderId="13" xfId="1" applyFont="1" applyFill="1" applyBorder="1" applyAlignment="1">
      <alignment horizontal="left" vertical="center" wrapText="1"/>
    </xf>
    <xf numFmtId="0" fontId="2" fillId="12" borderId="25" xfId="0" applyFont="1" applyFill="1" applyBorder="1" applyAlignment="1">
      <alignment horizontal="center" vertical="center" wrapText="1"/>
    </xf>
    <xf numFmtId="14" fontId="0" fillId="0" borderId="1" xfId="0" applyNumberFormat="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xf>
    <xf numFmtId="0" fontId="10" fillId="0" borderId="12" xfId="0" applyFont="1" applyBorder="1" applyAlignment="1">
      <alignment horizontal="right" vertical="center"/>
    </xf>
    <xf numFmtId="0" fontId="9" fillId="0" borderId="1" xfId="0" applyFont="1" applyBorder="1" applyAlignment="1">
      <alignment horizontal="center" vertical="center"/>
    </xf>
    <xf numFmtId="165" fontId="9" fillId="0" borderId="13" xfId="1" applyFont="1"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0" fontId="10" fillId="4" borderId="12" xfId="0" applyFont="1" applyFill="1" applyBorder="1" applyAlignment="1">
      <alignment horizontal="right" vertical="center"/>
    </xf>
    <xf numFmtId="14" fontId="9" fillId="0" borderId="1" xfId="0" applyNumberFormat="1" applyFont="1" applyBorder="1" applyAlignment="1">
      <alignment horizontal="center" vertical="center"/>
    </xf>
    <xf numFmtId="0" fontId="9" fillId="4" borderId="1" xfId="0" applyFont="1" applyFill="1" applyBorder="1" applyAlignment="1">
      <alignment horizontal="center" vertical="center" wrapText="1"/>
    </xf>
    <xf numFmtId="165" fontId="9" fillId="4" borderId="13" xfId="1" applyFont="1" applyFill="1" applyBorder="1" applyAlignment="1">
      <alignment horizontal="left" vertical="center" wrapText="1"/>
    </xf>
    <xf numFmtId="0" fontId="9" fillId="4" borderId="1" xfId="0" applyFont="1" applyFill="1" applyBorder="1" applyAlignment="1">
      <alignment horizontal="left" vertical="center" wrapText="1"/>
    </xf>
    <xf numFmtId="14" fontId="1" fillId="14" borderId="1" xfId="0" applyNumberFormat="1" applyFont="1" applyFill="1" applyBorder="1" applyAlignment="1">
      <alignment horizontal="center" vertical="center"/>
    </xf>
    <xf numFmtId="14" fontId="1" fillId="15"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14" fontId="0" fillId="3" borderId="1" xfId="0" applyNumberForma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165" fontId="1" fillId="10" borderId="1" xfId="1" applyFont="1" applyFill="1" applyBorder="1" applyAlignment="1">
      <alignment vertical="center"/>
    </xf>
    <xf numFmtId="14" fontId="1" fillId="13" borderId="1" xfId="0" applyNumberFormat="1" applyFont="1" applyFill="1" applyBorder="1" applyAlignment="1">
      <alignment horizontal="center" vertical="center"/>
    </xf>
    <xf numFmtId="0" fontId="1" fillId="13" borderId="1" xfId="0" applyFont="1" applyFill="1" applyBorder="1" applyAlignment="1">
      <alignment horizontal="center" vertical="center"/>
    </xf>
    <xf numFmtId="165" fontId="1" fillId="13" borderId="1" xfId="1" applyFont="1" applyFill="1" applyBorder="1" applyAlignment="1">
      <alignment vertical="center"/>
    </xf>
    <xf numFmtId="165" fontId="1" fillId="14" borderId="1" xfId="1" applyFont="1" applyFill="1" applyBorder="1" applyAlignment="1">
      <alignment vertical="center"/>
    </xf>
    <xf numFmtId="165" fontId="1" fillId="15" borderId="1" xfId="1" applyFont="1" applyFill="1" applyBorder="1" applyAlignment="1">
      <alignment vertical="center"/>
    </xf>
    <xf numFmtId="165" fontId="2" fillId="2" borderId="1" xfId="1" applyFont="1" applyFill="1" applyBorder="1" applyAlignment="1">
      <alignment vertical="center"/>
    </xf>
    <xf numFmtId="165" fontId="0" fillId="3" borderId="1" xfId="1" applyFont="1" applyFill="1" applyBorder="1" applyAlignment="1">
      <alignment vertical="center"/>
    </xf>
    <xf numFmtId="165" fontId="9" fillId="0" borderId="1" xfId="1" applyFont="1" applyBorder="1" applyAlignment="1">
      <alignment vertical="center"/>
    </xf>
    <xf numFmtId="165" fontId="9" fillId="0" borderId="1" xfId="1" applyFont="1" applyBorder="1" applyAlignment="1">
      <alignment horizontal="center" vertical="center"/>
    </xf>
    <xf numFmtId="165" fontId="2" fillId="3" borderId="1" xfId="1" applyFont="1" applyFill="1" applyBorder="1" applyAlignment="1">
      <alignment vertical="center"/>
    </xf>
    <xf numFmtId="0" fontId="11" fillId="5" borderId="1" xfId="0" applyFont="1" applyFill="1" applyBorder="1" applyAlignment="1">
      <alignment vertical="center" wrapText="1"/>
    </xf>
    <xf numFmtId="165" fontId="0" fillId="3" borderId="1" xfId="1" applyFont="1" applyFill="1" applyBorder="1" applyAlignment="1">
      <alignment horizontal="left" vertical="center" wrapText="1"/>
    </xf>
    <xf numFmtId="0" fontId="11" fillId="16" borderId="1" xfId="0" applyFont="1" applyFill="1" applyBorder="1" applyAlignment="1">
      <alignment horizontal="left" vertical="center" wrapText="1"/>
    </xf>
    <xf numFmtId="165" fontId="9" fillId="4" borderId="1" xfId="1" applyFont="1" applyFill="1" applyBorder="1" applyAlignment="1">
      <alignment horizontal="left" vertical="center" wrapText="1"/>
    </xf>
    <xf numFmtId="0" fontId="9" fillId="4" borderId="1" xfId="0" applyFont="1" applyFill="1" applyBorder="1" applyAlignment="1">
      <alignment vertical="center" wrapText="1"/>
    </xf>
    <xf numFmtId="0" fontId="2" fillId="12" borderId="9" xfId="0" applyFont="1" applyFill="1" applyBorder="1" applyAlignment="1">
      <alignment horizontal="center" vertical="center" wrapText="1"/>
    </xf>
    <xf numFmtId="49" fontId="1" fillId="10" borderId="12" xfId="0" applyNumberFormat="1" applyFont="1" applyFill="1" applyBorder="1" applyAlignment="1">
      <alignment horizontal="right" vertical="center"/>
    </xf>
    <xf numFmtId="49" fontId="1" fillId="13" borderId="12" xfId="0" applyNumberFormat="1" applyFont="1" applyFill="1" applyBorder="1" applyAlignment="1">
      <alignment horizontal="right" vertical="center"/>
    </xf>
    <xf numFmtId="0" fontId="2" fillId="7" borderId="36" xfId="0" applyFont="1" applyFill="1" applyBorder="1" applyAlignment="1">
      <alignment horizontal="right" vertical="center"/>
    </xf>
    <xf numFmtId="167" fontId="2" fillId="7" borderId="38" xfId="0" applyNumberFormat="1" applyFont="1" applyFill="1" applyBorder="1" applyAlignment="1">
      <alignment horizontal="left" vertical="center"/>
    </xf>
    <xf numFmtId="0" fontId="2" fillId="12" borderId="22" xfId="0" applyFont="1" applyFill="1" applyBorder="1" applyAlignment="1">
      <alignment horizontal="center" vertical="center" wrapText="1"/>
    </xf>
    <xf numFmtId="165" fontId="0" fillId="3" borderId="4" xfId="1" applyFont="1" applyFill="1" applyBorder="1" applyAlignment="1">
      <alignment horizontal="left" vertical="center" wrapText="1"/>
    </xf>
    <xf numFmtId="165" fontId="9" fillId="4" borderId="4" xfId="1" applyFont="1" applyFill="1" applyBorder="1" applyAlignment="1">
      <alignment horizontal="left" vertical="center" wrapText="1"/>
    </xf>
    <xf numFmtId="165" fontId="1" fillId="14" borderId="12" xfId="1" applyFont="1" applyFill="1" applyBorder="1" applyAlignment="1">
      <alignment vertical="center"/>
    </xf>
    <xf numFmtId="165" fontId="2" fillId="2" borderId="12" xfId="1" applyFont="1" applyFill="1" applyBorder="1" applyAlignment="1">
      <alignment vertical="center"/>
    </xf>
    <xf numFmtId="165" fontId="0" fillId="3" borderId="12" xfId="1" applyFont="1" applyFill="1" applyBorder="1" applyAlignment="1">
      <alignment vertical="center"/>
    </xf>
    <xf numFmtId="165" fontId="9" fillId="0" borderId="12" xfId="1" applyFont="1" applyBorder="1" applyAlignment="1">
      <alignment vertical="center"/>
    </xf>
    <xf numFmtId="165" fontId="9" fillId="0" borderId="12" xfId="1" applyFont="1" applyBorder="1" applyAlignment="1">
      <alignment horizontal="center" vertical="center"/>
    </xf>
    <xf numFmtId="165" fontId="2" fillId="3" borderId="12" xfId="1" applyFont="1" applyFill="1" applyBorder="1" applyAlignment="1">
      <alignment vertical="center"/>
    </xf>
    <xf numFmtId="165" fontId="0" fillId="3" borderId="12" xfId="1" applyFont="1" applyFill="1" applyBorder="1" applyAlignment="1">
      <alignment horizontal="left" vertical="center" wrapText="1"/>
    </xf>
    <xf numFmtId="165" fontId="9" fillId="4" borderId="12" xfId="1" applyFont="1" applyFill="1" applyBorder="1" applyAlignment="1">
      <alignment horizontal="left" vertical="center" wrapText="1"/>
    </xf>
    <xf numFmtId="165" fontId="1" fillId="10" borderId="32" xfId="1" applyFont="1" applyFill="1" applyBorder="1" applyAlignment="1">
      <alignment vertical="center"/>
    </xf>
    <xf numFmtId="165" fontId="1" fillId="10" borderId="3" xfId="1" applyFont="1" applyFill="1" applyBorder="1" applyAlignment="1">
      <alignment vertical="center"/>
    </xf>
    <xf numFmtId="0" fontId="0" fillId="4" borderId="27" xfId="0" applyFill="1" applyBorder="1" applyAlignment="1">
      <alignment vertical="center" wrapText="1"/>
    </xf>
    <xf numFmtId="0" fontId="0" fillId="3" borderId="11" xfId="0" applyFill="1" applyBorder="1" applyAlignment="1">
      <alignment horizontal="left" vertical="center" wrapText="1"/>
    </xf>
    <xf numFmtId="0" fontId="1" fillId="17" borderId="0" xfId="0" applyFont="1" applyFill="1" applyAlignment="1">
      <alignment horizontal="center" vertical="center" wrapText="1"/>
    </xf>
    <xf numFmtId="0" fontId="0" fillId="4" borderId="11" xfId="0" applyFill="1" applyBorder="1" applyAlignment="1">
      <alignment vertical="center" wrapText="1"/>
    </xf>
    <xf numFmtId="0" fontId="0" fillId="4" borderId="13" xfId="0" applyFill="1" applyBorder="1" applyAlignment="1">
      <alignment vertical="center" wrapText="1"/>
    </xf>
    <xf numFmtId="0" fontId="0" fillId="4" borderId="16" xfId="0" applyFill="1" applyBorder="1" applyAlignment="1">
      <alignment vertical="center" wrapText="1"/>
    </xf>
    <xf numFmtId="0" fontId="0" fillId="4" borderId="11" xfId="0" applyFill="1" applyBorder="1" applyAlignment="1">
      <alignment horizontal="left" vertical="center" wrapText="1"/>
    </xf>
    <xf numFmtId="0" fontId="0" fillId="4" borderId="16" xfId="0"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3" xfId="0" applyFont="1" applyFill="1" applyBorder="1" applyAlignment="1">
      <alignment horizontal="left" vertical="center" wrapText="1"/>
    </xf>
    <xf numFmtId="0" fontId="4" fillId="16" borderId="1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9" borderId="6" xfId="0" applyFill="1" applyBorder="1" applyAlignment="1">
      <alignment vertical="center" wrapText="1"/>
    </xf>
    <xf numFmtId="0" fontId="0" fillId="9" borderId="0" xfId="0" applyFill="1" applyAlignment="1">
      <alignment vertical="center" wrapText="1"/>
    </xf>
    <xf numFmtId="0" fontId="0" fillId="3" borderId="21" xfId="0" applyFill="1" applyBorder="1" applyAlignment="1">
      <alignment horizontal="left" vertical="center" wrapText="1"/>
    </xf>
    <xf numFmtId="0" fontId="2" fillId="2" borderId="25"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37" xfId="0" applyFill="1" applyBorder="1" applyAlignment="1">
      <alignment horizontal="left" vertical="center" wrapText="1"/>
    </xf>
    <xf numFmtId="0" fontId="0" fillId="4" borderId="21" xfId="0" applyFill="1" applyBorder="1" applyAlignment="1">
      <alignment vertical="center" wrapText="1"/>
    </xf>
    <xf numFmtId="0" fontId="4" fillId="16" borderId="11" xfId="0" applyFont="1" applyFill="1" applyBorder="1" applyAlignment="1">
      <alignment vertical="center" wrapText="1"/>
    </xf>
    <xf numFmtId="0" fontId="4" fillId="16" borderId="13" xfId="0" applyFont="1" applyFill="1" applyBorder="1" applyAlignment="1">
      <alignment vertical="center" wrapText="1"/>
    </xf>
    <xf numFmtId="0" fontId="4" fillId="16" borderId="16" xfId="0" applyFont="1" applyFill="1" applyBorder="1" applyAlignment="1">
      <alignment vertical="center" wrapText="1"/>
    </xf>
    <xf numFmtId="0" fontId="0" fillId="9" borderId="48" xfId="0" applyFill="1" applyBorder="1" applyAlignment="1">
      <alignment horizontal="center" vertical="center" wrapText="1"/>
    </xf>
    <xf numFmtId="0" fontId="0" fillId="3" borderId="7" xfId="0" applyFill="1" applyBorder="1" applyAlignment="1">
      <alignment horizontal="left" vertical="center" wrapText="1"/>
    </xf>
    <xf numFmtId="0" fontId="0" fillId="3" borderId="31" xfId="0" applyFill="1" applyBorder="1" applyAlignment="1">
      <alignment horizontal="left" vertical="center" wrapText="1"/>
    </xf>
    <xf numFmtId="0" fontId="0" fillId="3" borderId="50" xfId="0" applyFill="1" applyBorder="1" applyAlignment="1">
      <alignment horizontal="left" vertical="center" wrapText="1"/>
    </xf>
    <xf numFmtId="0" fontId="0" fillId="9" borderId="51" xfId="0" applyFill="1" applyBorder="1" applyAlignment="1">
      <alignment horizontal="center" vertical="center" wrapText="1"/>
    </xf>
    <xf numFmtId="0" fontId="0" fillId="9" borderId="5" xfId="0" applyFill="1" applyBorder="1" applyAlignment="1">
      <alignment vertical="center" wrapText="1"/>
    </xf>
    <xf numFmtId="0" fontId="4" fillId="3" borderId="7" xfId="0" applyFont="1" applyFill="1" applyBorder="1" applyAlignment="1">
      <alignment horizontal="left" vertical="center" wrapText="1"/>
    </xf>
    <xf numFmtId="0" fontId="0" fillId="3" borderId="23" xfId="0" applyFill="1" applyBorder="1" applyAlignment="1">
      <alignment horizontal="left" vertical="center" wrapText="1"/>
    </xf>
    <xf numFmtId="0" fontId="3" fillId="8" borderId="10" xfId="0" applyFont="1" applyFill="1" applyBorder="1" applyAlignment="1">
      <alignment horizontal="center" vertical="center" wrapText="1"/>
    </xf>
    <xf numFmtId="0" fontId="1" fillId="11" borderId="41" xfId="0" applyFont="1" applyFill="1" applyBorder="1" applyAlignment="1">
      <alignment horizontal="center" vertical="center" wrapText="1"/>
    </xf>
    <xf numFmtId="0" fontId="1" fillId="11" borderId="4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2" fillId="2" borderId="0" xfId="0" applyFont="1" applyFill="1" applyAlignment="1">
      <alignment horizontal="left" vertical="center" wrapText="1"/>
    </xf>
    <xf numFmtId="0" fontId="0" fillId="9" borderId="0" xfId="0" applyFill="1" applyAlignment="1">
      <alignment horizontal="center" vertical="center" wrapText="1"/>
    </xf>
    <xf numFmtId="0" fontId="12" fillId="9" borderId="54" xfId="0" applyFont="1" applyFill="1" applyBorder="1" applyAlignment="1">
      <alignment horizontal="left" vertical="center" wrapText="1"/>
    </xf>
    <xf numFmtId="165" fontId="9" fillId="0" borderId="6" xfId="1" applyFont="1" applyBorder="1" applyAlignment="1">
      <alignment vertical="center"/>
    </xf>
    <xf numFmtId="165" fontId="9" fillId="4" borderId="3" xfId="1" applyFont="1" applyFill="1" applyBorder="1" applyAlignment="1">
      <alignment horizontal="left" vertical="center" wrapText="1"/>
    </xf>
    <xf numFmtId="165" fontId="9" fillId="4" borderId="31" xfId="1" applyFont="1" applyFill="1" applyBorder="1" applyAlignment="1">
      <alignment horizontal="left" vertical="center" wrapText="1"/>
    </xf>
    <xf numFmtId="165" fontId="9" fillId="4" borderId="32" xfId="1" applyFont="1" applyFill="1" applyBorder="1" applyAlignment="1">
      <alignment horizontal="left" vertical="center" wrapText="1"/>
    </xf>
    <xf numFmtId="165" fontId="1" fillId="13" borderId="3" xfId="1" applyFont="1" applyFill="1" applyBorder="1" applyAlignment="1">
      <alignment vertical="center"/>
    </xf>
    <xf numFmtId="165" fontId="1" fillId="13" borderId="31" xfId="1" applyFont="1" applyFill="1" applyBorder="1" applyAlignment="1">
      <alignment vertical="center"/>
    </xf>
    <xf numFmtId="165" fontId="1" fillId="13" borderId="32" xfId="1" applyFont="1" applyFill="1" applyBorder="1" applyAlignment="1">
      <alignment vertical="center"/>
    </xf>
    <xf numFmtId="14" fontId="9" fillId="0" borderId="1" xfId="0" applyNumberFormat="1" applyFont="1" applyBorder="1" applyAlignment="1">
      <alignment horizontal="center" vertical="center" wrapText="1"/>
    </xf>
    <xf numFmtId="0" fontId="9" fillId="0" borderId="4" xfId="0" applyFont="1" applyBorder="1" applyAlignment="1">
      <alignment vertical="center"/>
    </xf>
    <xf numFmtId="0" fontId="9" fillId="0" borderId="6" xfId="0" applyFont="1" applyBorder="1" applyAlignment="1">
      <alignment horizontal="center" vertical="center"/>
    </xf>
    <xf numFmtId="14" fontId="0" fillId="3" borderId="2" xfId="0" applyNumberFormat="1" applyFill="1" applyBorder="1" applyAlignment="1">
      <alignment horizontal="center" vertical="center"/>
    </xf>
    <xf numFmtId="0" fontId="0" fillId="3" borderId="2" xfId="0" applyFill="1" applyBorder="1" applyAlignment="1">
      <alignment horizontal="center" vertical="center"/>
    </xf>
    <xf numFmtId="14" fontId="0" fillId="3" borderId="3" xfId="0" applyNumberFormat="1" applyFill="1" applyBorder="1" applyAlignment="1">
      <alignment horizontal="center" vertical="center"/>
    </xf>
    <xf numFmtId="0" fontId="0" fillId="3" borderId="3" xfId="0" applyFill="1" applyBorder="1" applyAlignment="1">
      <alignment horizontal="center" vertical="center"/>
    </xf>
    <xf numFmtId="14" fontId="9" fillId="0" borderId="3" xfId="0" applyNumberFormat="1" applyFont="1" applyBorder="1" applyAlignment="1">
      <alignment horizontal="center" vertical="center"/>
    </xf>
    <xf numFmtId="0" fontId="9" fillId="0" borderId="1" xfId="0" applyFont="1" applyBorder="1" applyAlignment="1">
      <alignment horizontal="center" vertical="center" wrapText="1"/>
    </xf>
    <xf numFmtId="165" fontId="0" fillId="0" borderId="1" xfId="1" applyFont="1" applyBorder="1" applyAlignment="1">
      <alignment horizontal="center" vertical="center"/>
    </xf>
    <xf numFmtId="0" fontId="2" fillId="7" borderId="1" xfId="0" applyFont="1" applyFill="1" applyBorder="1" applyAlignment="1">
      <alignment horizontal="left" vertical="center" wrapText="1"/>
    </xf>
    <xf numFmtId="0" fontId="0" fillId="9" borderId="54" xfId="0" applyFill="1" applyBorder="1" applyAlignment="1">
      <alignment horizontal="left" vertical="center" wrapText="1"/>
    </xf>
    <xf numFmtId="0" fontId="2" fillId="2" borderId="50" xfId="0" applyFont="1" applyFill="1" applyBorder="1" applyAlignment="1">
      <alignment horizontal="left" vertical="center" wrapText="1"/>
    </xf>
    <xf numFmtId="0" fontId="0" fillId="9" borderId="64" xfId="0" applyFill="1" applyBorder="1" applyAlignment="1">
      <alignment vertical="center" wrapText="1"/>
    </xf>
    <xf numFmtId="0" fontId="0" fillId="9" borderId="65" xfId="0" applyFill="1" applyBorder="1" applyAlignment="1">
      <alignment vertical="center" wrapText="1"/>
    </xf>
    <xf numFmtId="0" fontId="0" fillId="9" borderId="51" xfId="0" applyFill="1" applyBorder="1" applyAlignment="1">
      <alignment vertical="center" wrapText="1"/>
    </xf>
    <xf numFmtId="0" fontId="4" fillId="9" borderId="48" xfId="0" applyFont="1" applyFill="1" applyBorder="1" applyAlignment="1">
      <alignment vertical="center" wrapText="1"/>
    </xf>
    <xf numFmtId="0" fontId="4" fillId="9" borderId="65" xfId="0" applyFont="1" applyFill="1" applyBorder="1" applyAlignment="1">
      <alignment vertical="center" wrapText="1"/>
    </xf>
    <xf numFmtId="0" fontId="4" fillId="9" borderId="51" xfId="0" applyFont="1" applyFill="1" applyBorder="1" applyAlignment="1">
      <alignment vertical="center" wrapText="1"/>
    </xf>
    <xf numFmtId="0" fontId="0" fillId="9" borderId="66" xfId="0" applyFill="1" applyBorder="1" applyAlignment="1">
      <alignment vertical="center" wrapText="1"/>
    </xf>
    <xf numFmtId="0" fontId="2" fillId="7" borderId="15" xfId="0" applyFont="1" applyFill="1" applyBorder="1" applyAlignment="1">
      <alignment horizontal="left" vertical="center" wrapText="1"/>
    </xf>
    <xf numFmtId="0" fontId="0" fillId="9" borderId="38" xfId="0" applyFill="1" applyBorder="1" applyAlignment="1">
      <alignment horizontal="left" vertical="center" wrapText="1"/>
    </xf>
    <xf numFmtId="0" fontId="0" fillId="9" borderId="37" xfId="0" applyFill="1" applyBorder="1" applyAlignment="1">
      <alignment vertical="center" wrapText="1"/>
    </xf>
    <xf numFmtId="0" fontId="0" fillId="0" borderId="1" xfId="0" applyBorder="1"/>
    <xf numFmtId="0" fontId="4" fillId="3" borderId="53"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1" fillId="17" borderId="0" xfId="0" applyFont="1" applyFill="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vertical="center"/>
    </xf>
    <xf numFmtId="0" fontId="14" fillId="0" borderId="1" xfId="0" applyFont="1" applyBorder="1" applyAlignment="1">
      <alignment horizontal="center" vertical="center"/>
    </xf>
    <xf numFmtId="0" fontId="15" fillId="4" borderId="1" xfId="0" applyFont="1" applyFill="1" applyBorder="1" applyAlignment="1">
      <alignment horizontal="left" vertical="center" wrapText="1"/>
    </xf>
    <xf numFmtId="168" fontId="0" fillId="0" borderId="0" xfId="0" applyNumberFormat="1"/>
    <xf numFmtId="168" fontId="14" fillId="0" borderId="1" xfId="0" applyNumberFormat="1" applyFont="1" applyBorder="1" applyAlignment="1">
      <alignment horizontal="center" vertical="center" wrapText="1"/>
    </xf>
    <xf numFmtId="0" fontId="17" fillId="20" borderId="33" xfId="0" applyFont="1" applyFill="1" applyBorder="1" applyAlignment="1">
      <alignment horizontal="center" vertical="center" shrinkToFit="1"/>
    </xf>
    <xf numFmtId="0" fontId="16" fillId="21" borderId="7" xfId="0" applyFont="1" applyFill="1" applyBorder="1" applyAlignment="1">
      <alignment horizontal="right" vertical="center"/>
    </xf>
    <xf numFmtId="0" fontId="16" fillId="21" borderId="36" xfId="0" applyFont="1" applyFill="1" applyBorder="1" applyAlignment="1">
      <alignment horizontal="right" vertical="center"/>
    </xf>
    <xf numFmtId="0" fontId="16" fillId="21" borderId="53" xfId="0" applyFont="1" applyFill="1" applyBorder="1" applyAlignment="1">
      <alignment horizontal="right" vertical="center"/>
    </xf>
    <xf numFmtId="0" fontId="16" fillId="22" borderId="7" xfId="0" applyFont="1" applyFill="1" applyBorder="1" applyAlignment="1">
      <alignment horizontal="right" vertical="center"/>
    </xf>
    <xf numFmtId="0" fontId="20" fillId="23" borderId="25" xfId="0" applyFont="1" applyFill="1" applyBorder="1" applyAlignment="1">
      <alignment horizontal="right" vertical="center"/>
    </xf>
    <xf numFmtId="0" fontId="21" fillId="12" borderId="25" xfId="0" applyFont="1" applyFill="1" applyBorder="1" applyAlignment="1">
      <alignment horizontal="right" vertical="center"/>
    </xf>
    <xf numFmtId="0" fontId="23" fillId="0" borderId="0" xfId="0" applyFont="1"/>
    <xf numFmtId="0" fontId="28" fillId="0" borderId="0" xfId="0" applyFont="1"/>
    <xf numFmtId="165" fontId="28" fillId="19" borderId="62" xfId="1" applyFont="1" applyFill="1" applyBorder="1" applyAlignment="1">
      <alignment horizontal="left" vertical="center" wrapText="1"/>
    </xf>
    <xf numFmtId="165" fontId="28" fillId="0" borderId="62" xfId="1" applyFont="1" applyBorder="1" applyAlignment="1">
      <alignment horizontal="left" vertical="center" wrapText="1"/>
    </xf>
    <xf numFmtId="165" fontId="24" fillId="19" borderId="58" xfId="1" applyFont="1" applyFill="1" applyBorder="1" applyAlignment="1">
      <alignment horizontal="left" vertical="center" wrapText="1" indent="2"/>
    </xf>
    <xf numFmtId="165" fontId="24" fillId="0" borderId="58" xfId="1" applyFont="1" applyBorder="1" applyAlignment="1">
      <alignment horizontal="left" vertical="center" wrapText="1" indent="2"/>
    </xf>
    <xf numFmtId="165" fontId="19" fillId="7" borderId="0" xfId="1" applyFont="1" applyFill="1" applyBorder="1" applyAlignment="1">
      <alignment horizontal="left" vertical="center" wrapText="1"/>
    </xf>
    <xf numFmtId="0" fontId="21" fillId="12" borderId="7" xfId="0" applyFont="1" applyFill="1" applyBorder="1" applyAlignment="1">
      <alignment horizontal="right" vertical="center"/>
    </xf>
    <xf numFmtId="165" fontId="18" fillId="0" borderId="3" xfId="1" applyFont="1" applyBorder="1" applyAlignment="1">
      <alignment vertical="center"/>
    </xf>
    <xf numFmtId="165" fontId="18" fillId="0" borderId="31" xfId="1" applyFont="1" applyBorder="1" applyAlignment="1">
      <alignment vertical="center"/>
    </xf>
    <xf numFmtId="165" fontId="18" fillId="0" borderId="1" xfId="1" applyFont="1" applyBorder="1" applyAlignment="1">
      <alignment vertical="center"/>
    </xf>
    <xf numFmtId="165" fontId="18" fillId="0" borderId="13" xfId="1" applyFont="1" applyBorder="1" applyAlignment="1">
      <alignment vertical="center"/>
    </xf>
    <xf numFmtId="165" fontId="18" fillId="4" borderId="1" xfId="1" applyFont="1" applyFill="1" applyBorder="1" applyAlignment="1">
      <alignment vertical="center"/>
    </xf>
    <xf numFmtId="165" fontId="18" fillId="4" borderId="13" xfId="1" applyFont="1" applyFill="1" applyBorder="1" applyAlignment="1">
      <alignment vertical="center"/>
    </xf>
    <xf numFmtId="165" fontId="18" fillId="4" borderId="12" xfId="1" applyFont="1" applyFill="1" applyBorder="1" applyAlignment="1">
      <alignment vertical="center"/>
    </xf>
    <xf numFmtId="165" fontId="18" fillId="0" borderId="12" xfId="1" applyFont="1" applyBorder="1" applyAlignment="1">
      <alignment vertical="center"/>
    </xf>
    <xf numFmtId="165" fontId="18" fillId="0" borderId="14" xfId="1" applyFont="1" applyBorder="1" applyAlignment="1">
      <alignment vertical="center"/>
    </xf>
    <xf numFmtId="165" fontId="18" fillId="0" borderId="15" xfId="1" applyFont="1" applyBorder="1" applyAlignment="1">
      <alignment vertical="center"/>
    </xf>
    <xf numFmtId="165" fontId="18" fillId="0" borderId="16" xfId="1" applyFont="1" applyBorder="1" applyAlignment="1">
      <alignment vertical="center"/>
    </xf>
    <xf numFmtId="165" fontId="18" fillId="0" borderId="32" xfId="1" applyFont="1" applyBorder="1" applyAlignment="1">
      <alignment vertical="center"/>
    </xf>
    <xf numFmtId="0" fontId="28" fillId="0" borderId="0" xfId="0" applyFont="1" applyAlignment="1">
      <alignment vertical="center"/>
    </xf>
    <xf numFmtId="164" fontId="27" fillId="19" borderId="12" xfId="1" applyNumberFormat="1" applyFont="1" applyFill="1" applyBorder="1" applyAlignment="1">
      <alignment horizontal="center" vertical="center" shrinkToFit="1"/>
    </xf>
    <xf numFmtId="164" fontId="27" fillId="0" borderId="12" xfId="1" applyNumberFormat="1" applyFont="1" applyBorder="1" applyAlignment="1">
      <alignment horizontal="center" vertical="center" shrinkToFit="1"/>
    </xf>
    <xf numFmtId="165" fontId="27" fillId="19" borderId="13" xfId="1" applyFont="1" applyFill="1" applyBorder="1" applyAlignment="1">
      <alignment horizontal="left" vertical="center" shrinkToFit="1"/>
    </xf>
    <xf numFmtId="165" fontId="27" fillId="0" borderId="13" xfId="1" applyFont="1" applyBorder="1" applyAlignment="1">
      <alignment horizontal="right" vertical="center" shrinkToFit="1"/>
    </xf>
    <xf numFmtId="165" fontId="27" fillId="0" borderId="13" xfId="1" applyFont="1" applyBorder="1" applyAlignment="1">
      <alignment horizontal="left" vertical="center" shrinkToFit="1"/>
    </xf>
    <xf numFmtId="165" fontId="22" fillId="25" borderId="62" xfId="1" applyFont="1" applyFill="1" applyBorder="1" applyAlignment="1">
      <alignment horizontal="right" vertical="center" shrinkToFit="1"/>
    </xf>
    <xf numFmtId="165" fontId="22" fillId="25" borderId="62" xfId="1" applyFont="1" applyFill="1" applyBorder="1" applyAlignment="1">
      <alignment horizontal="left" vertical="center" shrinkToFit="1"/>
    </xf>
    <xf numFmtId="165" fontId="22" fillId="25" borderId="58" xfId="1" applyFont="1" applyFill="1" applyBorder="1" applyAlignment="1">
      <alignment horizontal="left" vertical="center" shrinkToFit="1"/>
    </xf>
    <xf numFmtId="165" fontId="22" fillId="25" borderId="8" xfId="1" applyFont="1" applyFill="1" applyBorder="1" applyAlignment="1">
      <alignment horizontal="left" vertical="center" shrinkToFit="1"/>
    </xf>
    <xf numFmtId="165" fontId="22" fillId="25" borderId="11" xfId="1" applyFont="1" applyFill="1" applyBorder="1" applyAlignment="1">
      <alignment horizontal="left" vertical="center" shrinkToFit="1"/>
    </xf>
    <xf numFmtId="165" fontId="27" fillId="19" borderId="62" xfId="1" applyFont="1" applyFill="1" applyBorder="1" applyAlignment="1">
      <alignment horizontal="right" vertical="center" shrinkToFit="1"/>
    </xf>
    <xf numFmtId="165" fontId="27" fillId="19" borderId="62" xfId="1" applyFont="1" applyFill="1" applyBorder="1" applyAlignment="1">
      <alignment horizontal="left" vertical="center" shrinkToFit="1"/>
    </xf>
    <xf numFmtId="165" fontId="27" fillId="19" borderId="58" xfId="1" applyFont="1" applyFill="1" applyBorder="1" applyAlignment="1">
      <alignment horizontal="left" vertical="center" shrinkToFit="1"/>
    </xf>
    <xf numFmtId="165" fontId="22" fillId="25" borderId="12" xfId="1" applyFont="1" applyFill="1" applyBorder="1" applyAlignment="1">
      <alignment horizontal="left" vertical="center" shrinkToFit="1"/>
    </xf>
    <xf numFmtId="165" fontId="22" fillId="25" borderId="13" xfId="1" applyFont="1" applyFill="1" applyBorder="1" applyAlignment="1">
      <alignment horizontal="left" vertical="center" shrinkToFit="1"/>
    </xf>
    <xf numFmtId="165" fontId="27" fillId="19" borderId="58" xfId="1" applyFont="1" applyFill="1" applyBorder="1" applyAlignment="1">
      <alignment horizontal="right" vertical="center" shrinkToFit="1"/>
    </xf>
    <xf numFmtId="165" fontId="27" fillId="0" borderId="62" xfId="1" applyFont="1" applyBorder="1" applyAlignment="1">
      <alignment horizontal="right" vertical="center" shrinkToFit="1"/>
    </xf>
    <xf numFmtId="165" fontId="27" fillId="0" borderId="58" xfId="1" applyFont="1" applyBorder="1" applyAlignment="1">
      <alignment horizontal="right" vertical="center" shrinkToFit="1"/>
    </xf>
    <xf numFmtId="165" fontId="27" fillId="0" borderId="62" xfId="1" applyFont="1" applyBorder="1" applyAlignment="1">
      <alignment horizontal="left" vertical="center" shrinkToFit="1"/>
    </xf>
    <xf numFmtId="165" fontId="27" fillId="0" borderId="58" xfId="1" applyFont="1" applyBorder="1" applyAlignment="1">
      <alignment horizontal="left" vertical="center" shrinkToFit="1"/>
    </xf>
    <xf numFmtId="165" fontId="22" fillId="24" borderId="62" xfId="1" applyFont="1" applyFill="1" applyBorder="1" applyAlignment="1">
      <alignment horizontal="right" vertical="center" shrinkToFit="1"/>
    </xf>
    <xf numFmtId="165" fontId="22" fillId="24" borderId="58" xfId="1" applyFont="1" applyFill="1" applyBorder="1" applyAlignment="1">
      <alignment horizontal="left" vertical="center" shrinkToFit="1"/>
    </xf>
    <xf numFmtId="165" fontId="22" fillId="24" borderId="12" xfId="1" applyFont="1" applyFill="1" applyBorder="1" applyAlignment="1">
      <alignment horizontal="left" vertical="center" shrinkToFit="1"/>
    </xf>
    <xf numFmtId="165" fontId="22" fillId="24" borderId="13" xfId="1" applyFont="1" applyFill="1" applyBorder="1" applyAlignment="1">
      <alignment horizontal="left" vertical="center" shrinkToFit="1"/>
    </xf>
    <xf numFmtId="165" fontId="22" fillId="18" borderId="62" xfId="1" applyFont="1" applyFill="1" applyBorder="1" applyAlignment="1">
      <alignment horizontal="right" vertical="center" shrinkToFit="1"/>
    </xf>
    <xf numFmtId="165" fontId="22" fillId="18" borderId="58" xfId="1" applyFont="1" applyFill="1" applyBorder="1" applyAlignment="1">
      <alignment horizontal="left" vertical="center" shrinkToFit="1"/>
    </xf>
    <xf numFmtId="165" fontId="22" fillId="18" borderId="12" xfId="1" applyFont="1" applyFill="1" applyBorder="1" applyAlignment="1">
      <alignment horizontal="left" vertical="center" shrinkToFit="1"/>
    </xf>
    <xf numFmtId="165" fontId="22" fillId="18" borderId="13" xfId="1" applyFont="1" applyFill="1" applyBorder="1" applyAlignment="1">
      <alignment horizontal="left" vertical="center" shrinkToFit="1"/>
    </xf>
    <xf numFmtId="0" fontId="29" fillId="12" borderId="1" xfId="0" applyFont="1" applyFill="1" applyBorder="1" applyAlignment="1">
      <alignment vertical="center"/>
    </xf>
    <xf numFmtId="165" fontId="29" fillId="12" borderId="1" xfId="0" applyNumberFormat="1" applyFont="1" applyFill="1" applyBorder="1" applyAlignment="1">
      <alignment vertical="center"/>
    </xf>
    <xf numFmtId="165" fontId="29" fillId="12" borderId="4" xfId="0" applyNumberFormat="1" applyFont="1" applyFill="1" applyBorder="1" applyAlignment="1">
      <alignment vertical="center"/>
    </xf>
    <xf numFmtId="0" fontId="29" fillId="7" borderId="0" xfId="0" applyFont="1" applyFill="1" applyAlignment="1">
      <alignment horizontal="left" vertical="center"/>
    </xf>
    <xf numFmtId="165" fontId="22" fillId="25" borderId="1" xfId="1" applyFont="1" applyFill="1" applyBorder="1" applyAlignment="1">
      <alignment horizontal="left" vertical="center" shrinkToFit="1"/>
    </xf>
    <xf numFmtId="164" fontId="27" fillId="19" borderId="1" xfId="1" applyNumberFormat="1" applyFont="1" applyFill="1" applyBorder="1" applyAlignment="1">
      <alignment horizontal="center" vertical="center" shrinkToFit="1"/>
    </xf>
    <xf numFmtId="164" fontId="27" fillId="0" borderId="1" xfId="1" applyNumberFormat="1" applyFont="1" applyBorder="1" applyAlignment="1">
      <alignment horizontal="center" vertical="center" shrinkToFit="1"/>
    </xf>
    <xf numFmtId="40" fontId="27" fillId="19" borderId="1" xfId="1" applyNumberFormat="1" applyFont="1" applyFill="1" applyBorder="1" applyAlignment="1">
      <alignment horizontal="center" vertical="center" shrinkToFit="1"/>
    </xf>
    <xf numFmtId="165" fontId="22" fillId="24" borderId="1" xfId="1" applyFont="1" applyFill="1" applyBorder="1" applyAlignment="1">
      <alignment horizontal="left" vertical="center" shrinkToFit="1"/>
    </xf>
    <xf numFmtId="165" fontId="22" fillId="18" borderId="1" xfId="1" applyFont="1" applyFill="1" applyBorder="1" applyAlignment="1">
      <alignment horizontal="left" vertical="center" shrinkToFit="1"/>
    </xf>
    <xf numFmtId="165" fontId="22" fillId="25" borderId="9" xfId="1" applyFont="1" applyFill="1" applyBorder="1" applyAlignment="1">
      <alignment horizontal="left" vertical="center" shrinkToFit="1"/>
    </xf>
    <xf numFmtId="165" fontId="22" fillId="25" borderId="81" xfId="1" applyFont="1" applyFill="1" applyBorder="1" applyAlignment="1">
      <alignment horizontal="right" vertical="center" shrinkToFit="1"/>
    </xf>
    <xf numFmtId="165" fontId="22" fillId="25" borderId="81" xfId="1" applyFont="1" applyFill="1" applyBorder="1" applyAlignment="1">
      <alignment horizontal="left" vertical="center" shrinkToFit="1"/>
    </xf>
    <xf numFmtId="165" fontId="22" fillId="25" borderId="79" xfId="1" applyFont="1" applyFill="1" applyBorder="1" applyAlignment="1">
      <alignment horizontal="left" vertical="center" shrinkToFit="1"/>
    </xf>
    <xf numFmtId="169" fontId="27" fillId="19" borderId="12" xfId="1" applyNumberFormat="1" applyFont="1" applyFill="1" applyBorder="1" applyAlignment="1">
      <alignment horizontal="center" vertical="center" shrinkToFit="1"/>
    </xf>
    <xf numFmtId="169" fontId="27" fillId="0" borderId="12" xfId="1" applyNumberFormat="1" applyFont="1" applyBorder="1" applyAlignment="1">
      <alignment horizontal="center" vertical="center" shrinkToFit="1"/>
    </xf>
    <xf numFmtId="169" fontId="27" fillId="19" borderId="1" xfId="1" applyNumberFormat="1" applyFont="1" applyFill="1" applyBorder="1" applyAlignment="1">
      <alignment horizontal="center" vertical="center" shrinkToFit="1"/>
    </xf>
    <xf numFmtId="165" fontId="26" fillId="26" borderId="62" xfId="1" applyFont="1" applyFill="1" applyBorder="1" applyAlignment="1">
      <alignment horizontal="right" vertical="center" shrinkToFit="1"/>
    </xf>
    <xf numFmtId="165" fontId="26" fillId="26" borderId="58" xfId="1" applyFont="1" applyFill="1" applyBorder="1" applyAlignment="1">
      <alignment horizontal="right" vertical="center" shrinkToFit="1"/>
    </xf>
    <xf numFmtId="165" fontId="26" fillId="26" borderId="12" xfId="1" applyFont="1" applyFill="1" applyBorder="1" applyAlignment="1">
      <alignment horizontal="right" vertical="center" shrinkToFit="1"/>
    </xf>
    <xf numFmtId="165" fontId="26" fillId="26" borderId="1" xfId="1" applyFont="1" applyFill="1" applyBorder="1" applyAlignment="1">
      <alignment horizontal="right" vertical="center" shrinkToFit="1"/>
    </xf>
    <xf numFmtId="165" fontId="26" fillId="26" borderId="13" xfId="1" applyFont="1" applyFill="1" applyBorder="1" applyAlignment="1">
      <alignment horizontal="right" vertical="center" shrinkToFit="1"/>
    </xf>
    <xf numFmtId="164" fontId="24" fillId="0" borderId="12" xfId="1" applyNumberFormat="1" applyFont="1" applyBorder="1" applyAlignment="1">
      <alignment horizontal="center" vertical="center" shrinkToFit="1"/>
    </xf>
    <xf numFmtId="164" fontId="24" fillId="0" borderId="1" xfId="1" applyNumberFormat="1" applyFont="1" applyBorder="1" applyAlignment="1">
      <alignment horizontal="center" vertical="center" shrinkToFit="1"/>
    </xf>
    <xf numFmtId="164" fontId="31" fillId="19" borderId="12" xfId="1" applyNumberFormat="1" applyFont="1" applyFill="1" applyBorder="1" applyAlignment="1">
      <alignment horizontal="center" vertical="center" shrinkToFit="1"/>
    </xf>
    <xf numFmtId="164" fontId="31" fillId="0" borderId="12" xfId="1" applyNumberFormat="1" applyFont="1" applyBorder="1" applyAlignment="1">
      <alignment horizontal="center" vertical="center" shrinkToFit="1"/>
    </xf>
    <xf numFmtId="164" fontId="32" fillId="0" borderId="12" xfId="1" applyNumberFormat="1" applyFont="1" applyBorder="1" applyAlignment="1">
      <alignment horizontal="center" vertical="center" shrinkToFit="1"/>
    </xf>
    <xf numFmtId="164" fontId="24" fillId="19" borderId="12" xfId="1" applyNumberFormat="1" applyFont="1" applyFill="1" applyBorder="1" applyAlignment="1">
      <alignment horizontal="center" vertical="center" shrinkToFit="1"/>
    </xf>
    <xf numFmtId="170" fontId="24" fillId="19" borderId="58" xfId="1" applyNumberFormat="1" applyFont="1" applyFill="1" applyBorder="1" applyAlignment="1">
      <alignment horizontal="left" vertical="center" wrapText="1" indent="2"/>
    </xf>
    <xf numFmtId="170" fontId="24" fillId="0" borderId="58" xfId="1" applyNumberFormat="1" applyFont="1" applyBorder="1" applyAlignment="1">
      <alignment horizontal="left" vertical="center" wrapText="1" indent="2"/>
    </xf>
    <xf numFmtId="165" fontId="24" fillId="27" borderId="58" xfId="1" applyFont="1" applyFill="1" applyBorder="1" applyAlignment="1">
      <alignment horizontal="left" vertical="center" wrapText="1" indent="2"/>
    </xf>
    <xf numFmtId="165" fontId="27" fillId="27" borderId="62" xfId="1" applyFont="1" applyFill="1" applyBorder="1" applyAlignment="1">
      <alignment horizontal="right" vertical="center" shrinkToFit="1"/>
    </xf>
    <xf numFmtId="165" fontId="27" fillId="27" borderId="62" xfId="1" applyFont="1" applyFill="1" applyBorder="1" applyAlignment="1">
      <alignment horizontal="left" vertical="center" shrinkToFit="1"/>
    </xf>
    <xf numFmtId="165" fontId="27" fillId="27" borderId="58" xfId="1" applyFont="1" applyFill="1" applyBorder="1" applyAlignment="1">
      <alignment horizontal="left" vertical="center" shrinkToFit="1"/>
    </xf>
    <xf numFmtId="165" fontId="27" fillId="27" borderId="13" xfId="1" applyFont="1" applyFill="1" applyBorder="1" applyAlignment="1">
      <alignment horizontal="left" vertical="center" shrinkToFit="1"/>
    </xf>
    <xf numFmtId="164" fontId="27" fillId="27" borderId="12" xfId="1" applyNumberFormat="1" applyFont="1" applyFill="1" applyBorder="1" applyAlignment="1">
      <alignment horizontal="center" vertical="center" shrinkToFit="1"/>
    </xf>
    <xf numFmtId="164" fontId="27" fillId="27" borderId="1" xfId="1" applyNumberFormat="1" applyFont="1" applyFill="1" applyBorder="1" applyAlignment="1">
      <alignment horizontal="center" vertical="center" shrinkToFit="1"/>
    </xf>
    <xf numFmtId="0" fontId="17" fillId="20" borderId="10" xfId="0" applyFont="1" applyFill="1" applyBorder="1" applyAlignment="1">
      <alignment horizontal="center" vertical="center" shrinkToFit="1"/>
    </xf>
    <xf numFmtId="0" fontId="17" fillId="20" borderId="75" xfId="0" applyFont="1" applyFill="1" applyBorder="1" applyAlignment="1">
      <alignment horizontal="center" vertical="center" shrinkToFit="1"/>
    </xf>
    <xf numFmtId="0" fontId="17" fillId="20" borderId="23" xfId="0" applyFont="1" applyFill="1" applyBorder="1" applyAlignment="1">
      <alignment horizontal="center" vertical="center" shrinkToFit="1"/>
    </xf>
    <xf numFmtId="0" fontId="17" fillId="20" borderId="34" xfId="0" applyFont="1" applyFill="1" applyBorder="1" applyAlignment="1">
      <alignment horizontal="center" vertical="center" shrinkToFit="1"/>
    </xf>
    <xf numFmtId="0" fontId="18" fillId="0" borderId="52" xfId="0" applyFont="1" applyBorder="1" applyAlignment="1">
      <alignment vertical="center"/>
    </xf>
    <xf numFmtId="0" fontId="18" fillId="0" borderId="40" xfId="0" applyFont="1" applyBorder="1" applyAlignment="1">
      <alignment vertical="center"/>
    </xf>
    <xf numFmtId="165" fontId="18" fillId="0" borderId="76" xfId="1" applyFont="1" applyBorder="1" applyAlignment="1">
      <alignment vertical="center"/>
    </xf>
    <xf numFmtId="165" fontId="18" fillId="0" borderId="5" xfId="1" applyFont="1" applyBorder="1" applyAlignment="1">
      <alignment vertical="center"/>
    </xf>
    <xf numFmtId="165" fontId="18" fillId="0" borderId="57" xfId="1" applyFont="1" applyBorder="1" applyAlignment="1">
      <alignment vertical="center"/>
    </xf>
    <xf numFmtId="0" fontId="18" fillId="0" borderId="19" xfId="0" applyFont="1" applyBorder="1" applyAlignment="1">
      <alignment vertical="center"/>
    </xf>
    <xf numFmtId="0" fontId="18" fillId="0" borderId="29" xfId="0" applyFont="1" applyBorder="1" applyAlignment="1">
      <alignment vertical="center"/>
    </xf>
    <xf numFmtId="165" fontId="18" fillId="0" borderId="6" xfId="1" applyFont="1" applyBorder="1" applyAlignment="1">
      <alignment vertical="center"/>
    </xf>
    <xf numFmtId="165" fontId="18" fillId="0" borderId="4" xfId="1" applyFont="1" applyBorder="1" applyAlignment="1">
      <alignment vertical="center"/>
    </xf>
    <xf numFmtId="0" fontId="18" fillId="4" borderId="19" xfId="0" applyFont="1" applyFill="1" applyBorder="1" applyAlignment="1">
      <alignment vertical="center"/>
    </xf>
    <xf numFmtId="0" fontId="18" fillId="4" borderId="29" xfId="0" applyFont="1" applyFill="1" applyBorder="1" applyAlignment="1">
      <alignment vertical="center"/>
    </xf>
    <xf numFmtId="165" fontId="18" fillId="4" borderId="6" xfId="1" applyFont="1" applyFill="1" applyBorder="1" applyAlignment="1">
      <alignment vertical="center"/>
    </xf>
    <xf numFmtId="165" fontId="18" fillId="4" borderId="4" xfId="1" applyFont="1" applyFill="1" applyBorder="1" applyAlignment="1">
      <alignment vertical="center"/>
    </xf>
    <xf numFmtId="0" fontId="18" fillId="0" borderId="20" xfId="0" applyFont="1" applyBorder="1" applyAlignment="1">
      <alignment vertical="center"/>
    </xf>
    <xf numFmtId="0" fontId="18" fillId="0" borderId="30" xfId="0" applyFont="1" applyBorder="1" applyAlignment="1">
      <alignment vertical="center"/>
    </xf>
    <xf numFmtId="165" fontId="18" fillId="0" borderId="18" xfId="1" applyFont="1" applyBorder="1" applyAlignment="1">
      <alignment vertical="center"/>
    </xf>
    <xf numFmtId="165" fontId="18" fillId="0" borderId="17" xfId="1" applyFont="1" applyBorder="1" applyAlignment="1">
      <alignment vertical="center"/>
    </xf>
    <xf numFmtId="0" fontId="18" fillId="0" borderId="43" xfId="0" applyFont="1" applyBorder="1" applyAlignment="1">
      <alignment vertical="center"/>
    </xf>
    <xf numFmtId="165" fontId="16" fillId="21" borderId="38" xfId="0" applyNumberFormat="1" applyFont="1" applyFill="1" applyBorder="1" applyAlignment="1">
      <alignment vertical="center"/>
    </xf>
    <xf numFmtId="165" fontId="16" fillId="21" borderId="44" xfId="0" applyNumberFormat="1" applyFont="1" applyFill="1" applyBorder="1" applyAlignment="1">
      <alignment vertical="center"/>
    </xf>
    <xf numFmtId="165" fontId="16" fillId="21" borderId="45" xfId="0" applyNumberFormat="1" applyFont="1" applyFill="1" applyBorder="1" applyAlignment="1">
      <alignment vertical="center"/>
    </xf>
    <xf numFmtId="165" fontId="16" fillId="21" borderId="73" xfId="0" applyNumberFormat="1" applyFont="1" applyFill="1" applyBorder="1" applyAlignment="1">
      <alignment vertical="center"/>
    </xf>
    <xf numFmtId="165" fontId="16" fillId="21" borderId="68" xfId="0" applyNumberFormat="1" applyFont="1" applyFill="1" applyBorder="1" applyAlignment="1">
      <alignment vertical="center"/>
    </xf>
    <xf numFmtId="0" fontId="18" fillId="4" borderId="40" xfId="0" applyFont="1" applyFill="1" applyBorder="1" applyAlignment="1">
      <alignment vertical="center"/>
    </xf>
    <xf numFmtId="0" fontId="18" fillId="4" borderId="52" xfId="0" applyFont="1" applyFill="1" applyBorder="1" applyAlignment="1">
      <alignment vertical="center"/>
    </xf>
    <xf numFmtId="165" fontId="18" fillId="0" borderId="24" xfId="1" applyFont="1" applyBorder="1" applyAlignment="1">
      <alignment vertical="center"/>
    </xf>
    <xf numFmtId="165" fontId="18" fillId="4" borderId="8" xfId="1" applyFont="1" applyFill="1" applyBorder="1" applyAlignment="1">
      <alignment vertical="center"/>
    </xf>
    <xf numFmtId="165" fontId="18" fillId="4" borderId="9" xfId="1" applyFont="1" applyFill="1" applyBorder="1" applyAlignment="1">
      <alignment vertical="center"/>
    </xf>
    <xf numFmtId="165" fontId="18" fillId="4" borderId="11" xfId="1" applyFont="1" applyFill="1" applyBorder="1" applyAlignment="1">
      <alignment vertical="center"/>
    </xf>
    <xf numFmtId="0" fontId="18" fillId="4" borderId="30" xfId="0" applyFont="1" applyFill="1" applyBorder="1" applyAlignment="1">
      <alignment vertical="center"/>
    </xf>
    <xf numFmtId="165" fontId="18" fillId="4" borderId="44" xfId="1" applyFont="1" applyFill="1" applyBorder="1" applyAlignment="1">
      <alignment vertical="center"/>
    </xf>
    <xf numFmtId="0" fontId="3" fillId="3" borderId="36" xfId="0" applyFont="1" applyFill="1" applyBorder="1" applyAlignment="1">
      <alignment horizontal="right" vertical="center"/>
    </xf>
    <xf numFmtId="0" fontId="18" fillId="4" borderId="28" xfId="0" applyFont="1" applyFill="1" applyBorder="1" applyAlignment="1">
      <alignment vertical="center"/>
    </xf>
    <xf numFmtId="165" fontId="16" fillId="21" borderId="7" xfId="0" applyNumberFormat="1" applyFont="1" applyFill="1" applyBorder="1" applyAlignment="1">
      <alignment vertical="center"/>
    </xf>
    <xf numFmtId="165" fontId="16" fillId="21" borderId="72" xfId="0" applyNumberFormat="1" applyFont="1" applyFill="1" applyBorder="1" applyAlignment="1">
      <alignment vertical="center"/>
    </xf>
    <xf numFmtId="165" fontId="16" fillId="21" borderId="77" xfId="0" applyNumberFormat="1" applyFont="1" applyFill="1" applyBorder="1" applyAlignment="1">
      <alignment vertical="center"/>
    </xf>
    <xf numFmtId="165" fontId="16" fillId="21" borderId="47" xfId="0" applyNumberFormat="1" applyFont="1" applyFill="1" applyBorder="1" applyAlignment="1">
      <alignment vertical="center"/>
    </xf>
    <xf numFmtId="165" fontId="16" fillId="21" borderId="39" xfId="0" applyNumberFormat="1" applyFont="1" applyFill="1" applyBorder="1" applyAlignment="1">
      <alignment vertical="center"/>
    </xf>
    <xf numFmtId="165" fontId="16" fillId="21" borderId="26" xfId="0" applyNumberFormat="1" applyFont="1" applyFill="1" applyBorder="1" applyAlignment="1">
      <alignment vertical="center"/>
    </xf>
    <xf numFmtId="165" fontId="16" fillId="21" borderId="27" xfId="0" applyNumberFormat="1" applyFont="1" applyFill="1" applyBorder="1" applyAlignment="1">
      <alignment vertical="center"/>
    </xf>
    <xf numFmtId="165" fontId="16" fillId="21" borderId="25" xfId="0" applyNumberFormat="1" applyFont="1" applyFill="1" applyBorder="1" applyAlignment="1">
      <alignment vertical="center"/>
    </xf>
    <xf numFmtId="0" fontId="18" fillId="4" borderId="44" xfId="0" applyFont="1" applyFill="1" applyBorder="1" applyAlignment="1">
      <alignment vertical="center"/>
    </xf>
    <xf numFmtId="0" fontId="18" fillId="4" borderId="53" xfId="0" applyFont="1" applyFill="1" applyBorder="1" applyAlignment="1">
      <alignment vertical="center"/>
    </xf>
    <xf numFmtId="165" fontId="18" fillId="4" borderId="25" xfId="1" applyFont="1" applyFill="1" applyBorder="1" applyAlignment="1">
      <alignment vertical="center"/>
    </xf>
    <xf numFmtId="165" fontId="18" fillId="4" borderId="26" xfId="1" applyFont="1" applyFill="1" applyBorder="1" applyAlignment="1">
      <alignment vertical="center"/>
    </xf>
    <xf numFmtId="165" fontId="18" fillId="4" borderId="27" xfId="1" applyFont="1" applyFill="1" applyBorder="1" applyAlignment="1">
      <alignment vertical="center"/>
    </xf>
    <xf numFmtId="165" fontId="18" fillId="4" borderId="74" xfId="1" applyFont="1" applyFill="1" applyBorder="1" applyAlignment="1">
      <alignment vertical="center"/>
    </xf>
    <xf numFmtId="0" fontId="18" fillId="4" borderId="43" xfId="0" applyFont="1" applyFill="1" applyBorder="1" applyAlignment="1">
      <alignment vertical="center"/>
    </xf>
    <xf numFmtId="165" fontId="16" fillId="22" borderId="38" xfId="0" applyNumberFormat="1" applyFont="1" applyFill="1" applyBorder="1" applyAlignment="1">
      <alignment vertical="center"/>
    </xf>
    <xf numFmtId="165" fontId="16" fillId="22" borderId="44" xfId="0" applyNumberFormat="1" applyFont="1" applyFill="1" applyBorder="1" applyAlignment="1">
      <alignment vertical="center"/>
    </xf>
    <xf numFmtId="165" fontId="16" fillId="22" borderId="45" xfId="0" applyNumberFormat="1" applyFont="1" applyFill="1" applyBorder="1" applyAlignment="1">
      <alignment vertical="center"/>
    </xf>
    <xf numFmtId="165" fontId="16" fillId="22" borderId="73" xfId="0" applyNumberFormat="1" applyFont="1" applyFill="1" applyBorder="1" applyAlignment="1">
      <alignment vertical="center"/>
    </xf>
    <xf numFmtId="165" fontId="16" fillId="22" borderId="68" xfId="0" applyNumberFormat="1" applyFont="1" applyFill="1" applyBorder="1" applyAlignment="1">
      <alignment vertical="center"/>
    </xf>
    <xf numFmtId="0" fontId="0" fillId="4" borderId="43" xfId="0" applyFill="1" applyBorder="1" applyAlignment="1">
      <alignment vertical="center"/>
    </xf>
    <xf numFmtId="0" fontId="0" fillId="4" borderId="44" xfId="0" applyFill="1" applyBorder="1" applyAlignment="1">
      <alignment vertical="center"/>
    </xf>
    <xf numFmtId="0" fontId="0" fillId="4" borderId="68" xfId="0" applyFill="1" applyBorder="1" applyAlignment="1">
      <alignment vertical="center"/>
    </xf>
    <xf numFmtId="164" fontId="24" fillId="19" borderId="1" xfId="1" applyNumberFormat="1" applyFont="1" applyFill="1" applyBorder="1" applyAlignment="1">
      <alignment horizontal="center" vertical="center" shrinkToFit="1"/>
    </xf>
    <xf numFmtId="164" fontId="32" fillId="19" borderId="12" xfId="1" applyNumberFormat="1" applyFont="1" applyFill="1" applyBorder="1" applyAlignment="1">
      <alignment horizontal="center" vertical="center" shrinkToFit="1"/>
    </xf>
    <xf numFmtId="165" fontId="27" fillId="27" borderId="58" xfId="1" applyFont="1" applyFill="1" applyBorder="1" applyAlignment="1">
      <alignment horizontal="right" vertical="center" shrinkToFit="1"/>
    </xf>
    <xf numFmtId="165" fontId="22" fillId="17" borderId="42" xfId="1" applyFont="1" applyFill="1" applyBorder="1" applyAlignment="1">
      <alignment horizontal="center" vertical="center"/>
    </xf>
    <xf numFmtId="165" fontId="22" fillId="17" borderId="54" xfId="1" applyFont="1" applyFill="1" applyBorder="1" applyAlignment="1">
      <alignment horizontal="center" vertical="center" wrapText="1"/>
    </xf>
    <xf numFmtId="165" fontId="22" fillId="17" borderId="66" xfId="1" applyFont="1" applyFill="1" applyBorder="1" applyAlignment="1">
      <alignment horizontal="center" vertical="center"/>
    </xf>
    <xf numFmtId="165" fontId="29" fillId="12" borderId="47" xfId="0" applyNumberFormat="1" applyFont="1" applyFill="1" applyBorder="1" applyAlignment="1">
      <alignment vertical="center"/>
    </xf>
    <xf numFmtId="165" fontId="29" fillId="12" borderId="77" xfId="0" applyNumberFormat="1" applyFont="1" applyFill="1" applyBorder="1" applyAlignment="1">
      <alignment vertical="center"/>
    </xf>
    <xf numFmtId="165" fontId="29" fillId="12" borderId="73" xfId="0" applyNumberFormat="1" applyFont="1" applyFill="1" applyBorder="1" applyAlignment="1">
      <alignment vertical="center"/>
    </xf>
    <xf numFmtId="164" fontId="27" fillId="27" borderId="14" xfId="1" applyNumberFormat="1" applyFont="1" applyFill="1" applyBorder="1" applyAlignment="1">
      <alignment horizontal="center" vertical="center" shrinkToFit="1"/>
    </xf>
    <xf numFmtId="164" fontId="27" fillId="27" borderId="15" xfId="1" applyNumberFormat="1" applyFont="1" applyFill="1" applyBorder="1" applyAlignment="1">
      <alignment horizontal="center" vertical="center" shrinkToFit="1"/>
    </xf>
    <xf numFmtId="165" fontId="27" fillId="27" borderId="16" xfId="1" applyFont="1" applyFill="1" applyBorder="1" applyAlignment="1">
      <alignment horizontal="left" vertical="center" shrinkToFit="1"/>
    </xf>
    <xf numFmtId="0" fontId="29" fillId="7" borderId="7" xfId="0" applyFont="1" applyFill="1" applyBorder="1" applyAlignment="1">
      <alignment horizontal="right" vertical="center"/>
    </xf>
    <xf numFmtId="0" fontId="2" fillId="15" borderId="36" xfId="0" applyFont="1" applyFill="1" applyBorder="1" applyAlignment="1">
      <alignment horizontal="center" vertical="center"/>
    </xf>
    <xf numFmtId="0" fontId="2" fillId="15" borderId="7" xfId="0" applyFont="1" applyFill="1" applyBorder="1" applyAlignment="1">
      <alignment horizontal="center" vertical="center"/>
    </xf>
    <xf numFmtId="165" fontId="27" fillId="27" borderId="13" xfId="1" applyFont="1" applyFill="1" applyBorder="1" applyAlignment="1">
      <alignment horizontal="right" vertical="center" shrinkToFit="1"/>
    </xf>
    <xf numFmtId="165" fontId="28" fillId="27" borderId="62" xfId="1" applyFont="1" applyFill="1" applyBorder="1" applyAlignment="1">
      <alignment horizontal="left" vertical="center" wrapText="1"/>
    </xf>
    <xf numFmtId="164" fontId="31" fillId="27" borderId="12" xfId="1" applyNumberFormat="1" applyFont="1" applyFill="1" applyBorder="1" applyAlignment="1">
      <alignment horizontal="center" vertical="center" shrinkToFit="1"/>
    </xf>
    <xf numFmtId="164" fontId="28" fillId="0" borderId="0" xfId="0" applyNumberFormat="1" applyFont="1"/>
    <xf numFmtId="165" fontId="28" fillId="0" borderId="0" xfId="0" applyNumberFormat="1" applyFont="1"/>
    <xf numFmtId="165" fontId="22" fillId="17" borderId="54" xfId="1" applyFont="1" applyFill="1" applyBorder="1" applyAlignment="1">
      <alignment horizontal="center" vertical="center"/>
    </xf>
    <xf numFmtId="164" fontId="28" fillId="19" borderId="12" xfId="1" applyNumberFormat="1" applyFont="1" applyFill="1" applyBorder="1" applyAlignment="1">
      <alignment horizontal="center" vertical="center" shrinkToFit="1"/>
    </xf>
    <xf numFmtId="170" fontId="24" fillId="27" borderId="58" xfId="1" applyNumberFormat="1" applyFont="1" applyFill="1" applyBorder="1" applyAlignment="1">
      <alignment horizontal="left" vertical="center" wrapText="1" indent="2"/>
    </xf>
    <xf numFmtId="0" fontId="14" fillId="21" borderId="1" xfId="0" applyFont="1" applyFill="1" applyBorder="1" applyAlignment="1">
      <alignment vertical="center" wrapText="1"/>
    </xf>
    <xf numFmtId="0" fontId="14" fillId="21" borderId="1" xfId="0" applyFont="1" applyFill="1" applyBorder="1" applyAlignment="1">
      <alignment horizontal="center" vertical="center" wrapText="1"/>
    </xf>
    <xf numFmtId="0" fontId="13" fillId="21" borderId="1" xfId="0" applyFont="1" applyFill="1" applyBorder="1" applyAlignment="1">
      <alignment horizontal="left" vertical="center" wrapText="1"/>
    </xf>
    <xf numFmtId="168" fontId="14" fillId="21" borderId="1" xfId="0" applyNumberFormat="1" applyFont="1" applyFill="1" applyBorder="1" applyAlignment="1">
      <alignment horizontal="center" vertical="center" wrapText="1"/>
    </xf>
    <xf numFmtId="0" fontId="0" fillId="21" borderId="1" xfId="0" applyFill="1" applyBorder="1"/>
    <xf numFmtId="164" fontId="32" fillId="27" borderId="12" xfId="1" applyNumberFormat="1" applyFont="1" applyFill="1" applyBorder="1" applyAlignment="1">
      <alignment horizontal="center" vertical="center" shrinkToFit="1"/>
    </xf>
    <xf numFmtId="164" fontId="24" fillId="27" borderId="12" xfId="1" applyNumberFormat="1" applyFont="1" applyFill="1" applyBorder="1" applyAlignment="1">
      <alignment horizontal="center" vertical="center" shrinkToFit="1"/>
    </xf>
    <xf numFmtId="164" fontId="24" fillId="27" borderId="1" xfId="1" applyNumberFormat="1" applyFont="1" applyFill="1" applyBorder="1" applyAlignment="1">
      <alignment horizontal="center" vertical="center" shrinkToFit="1"/>
    </xf>
    <xf numFmtId="0" fontId="0" fillId="3" borderId="2" xfId="0" applyFill="1" applyBorder="1" applyAlignment="1">
      <alignment horizontal="left" vertical="center" wrapText="1"/>
    </xf>
    <xf numFmtId="0" fontId="0" fillId="25" borderId="0" xfId="0" applyFill="1"/>
    <xf numFmtId="0" fontId="1" fillId="17" borderId="2" xfId="0" applyFont="1" applyFill="1" applyBorder="1" applyAlignment="1">
      <alignment horizontal="center" vertical="center"/>
    </xf>
    <xf numFmtId="0" fontId="0" fillId="0" borderId="15" xfId="0" applyBorder="1"/>
    <xf numFmtId="165" fontId="24" fillId="28" borderId="58" xfId="1" applyFont="1" applyFill="1" applyBorder="1" applyAlignment="1">
      <alignment horizontal="left" vertical="center" wrapText="1" indent="2"/>
    </xf>
    <xf numFmtId="165" fontId="27" fillId="28" borderId="62" xfId="1" applyFont="1" applyFill="1" applyBorder="1" applyAlignment="1">
      <alignment horizontal="right" vertical="center" shrinkToFit="1"/>
    </xf>
    <xf numFmtId="169" fontId="27" fillId="28" borderId="1" xfId="1" applyNumberFormat="1" applyFont="1" applyFill="1" applyBorder="1" applyAlignment="1">
      <alignment horizontal="center" vertical="center" shrinkToFit="1"/>
    </xf>
    <xf numFmtId="165" fontId="27" fillId="28" borderId="13" xfId="1" applyFont="1" applyFill="1" applyBorder="1" applyAlignment="1">
      <alignment horizontal="left" vertical="center" shrinkToFit="1"/>
    </xf>
    <xf numFmtId="165" fontId="27" fillId="28" borderId="62" xfId="1" applyFont="1" applyFill="1" applyBorder="1" applyAlignment="1">
      <alignment horizontal="center" vertical="center" shrinkToFit="1"/>
    </xf>
    <xf numFmtId="169" fontId="32" fillId="28" borderId="12" xfId="1" applyNumberFormat="1" applyFont="1" applyFill="1" applyBorder="1" applyAlignment="1">
      <alignment horizontal="center" vertical="center" shrinkToFit="1"/>
    </xf>
    <xf numFmtId="164" fontId="27" fillId="28" borderId="1" xfId="1" applyNumberFormat="1" applyFont="1" applyFill="1" applyBorder="1" applyAlignment="1">
      <alignment horizontal="center" vertical="center" shrinkToFit="1"/>
    </xf>
    <xf numFmtId="164" fontId="32" fillId="28" borderId="12" xfId="1" applyNumberFormat="1" applyFont="1" applyFill="1" applyBorder="1" applyAlignment="1">
      <alignment horizontal="center" vertical="center" shrinkToFit="1"/>
    </xf>
    <xf numFmtId="0" fontId="18" fillId="4" borderId="42" xfId="0" applyFont="1" applyFill="1" applyBorder="1" applyAlignment="1">
      <alignment vertical="center"/>
    </xf>
    <xf numFmtId="165" fontId="18" fillId="4" borderId="43" xfId="1" applyFont="1" applyFill="1" applyBorder="1" applyAlignment="1">
      <alignment vertical="center"/>
    </xf>
    <xf numFmtId="165" fontId="18" fillId="4" borderId="35" xfId="1" applyFont="1" applyFill="1" applyBorder="1" applyAlignment="1">
      <alignment vertical="center"/>
    </xf>
    <xf numFmtId="165" fontId="18" fillId="4" borderId="2" xfId="1" applyFont="1" applyFill="1" applyBorder="1" applyAlignment="1">
      <alignment vertical="center"/>
    </xf>
    <xf numFmtId="165" fontId="18" fillId="4" borderId="21" xfId="1" applyFont="1" applyFill="1" applyBorder="1" applyAlignment="1">
      <alignment vertical="center"/>
    </xf>
    <xf numFmtId="165" fontId="18" fillId="0" borderId="35" xfId="1" applyFont="1" applyBorder="1" applyAlignment="1">
      <alignment vertical="center"/>
    </xf>
    <xf numFmtId="165" fontId="18" fillId="0" borderId="2" xfId="1" applyFont="1" applyBorder="1" applyAlignment="1">
      <alignment vertical="center"/>
    </xf>
    <xf numFmtId="165" fontId="18" fillId="0" borderId="63" xfId="1" applyFont="1" applyBorder="1" applyAlignment="1">
      <alignment vertical="center"/>
    </xf>
    <xf numFmtId="165" fontId="18" fillId="0" borderId="21" xfId="1" applyFont="1" applyBorder="1" applyAlignment="1">
      <alignment vertical="center"/>
    </xf>
    <xf numFmtId="164" fontId="28" fillId="27" borderId="12" xfId="1" applyNumberFormat="1" applyFont="1" applyFill="1" applyBorder="1" applyAlignment="1">
      <alignment horizontal="center" vertical="center" shrinkToFit="1"/>
    </xf>
    <xf numFmtId="165" fontId="24" fillId="29" borderId="58" xfId="1" applyFont="1" applyFill="1" applyBorder="1" applyAlignment="1">
      <alignment horizontal="left" vertical="center" wrapText="1" indent="2"/>
    </xf>
    <xf numFmtId="165" fontId="27" fillId="29" borderId="62" xfId="1" applyFont="1" applyFill="1" applyBorder="1" applyAlignment="1">
      <alignment horizontal="right" vertical="center" shrinkToFit="1"/>
    </xf>
    <xf numFmtId="165" fontId="27" fillId="29" borderId="58" xfId="1" applyFont="1" applyFill="1" applyBorder="1" applyAlignment="1">
      <alignment horizontal="right" vertical="center" shrinkToFit="1"/>
    </xf>
    <xf numFmtId="164" fontId="27" fillId="29" borderId="1" xfId="1" applyNumberFormat="1" applyFont="1" applyFill="1" applyBorder="1" applyAlignment="1">
      <alignment horizontal="center" vertical="center" shrinkToFit="1"/>
    </xf>
    <xf numFmtId="165" fontId="27" fillId="29" borderId="13" xfId="1" applyFont="1" applyFill="1" applyBorder="1" applyAlignment="1">
      <alignment horizontal="left" vertical="center" shrinkToFit="1"/>
    </xf>
    <xf numFmtId="164" fontId="31" fillId="29" borderId="12" xfId="1" applyNumberFormat="1" applyFont="1" applyFill="1" applyBorder="1" applyAlignment="1">
      <alignment horizontal="center" vertical="center" shrinkToFit="1"/>
    </xf>
    <xf numFmtId="0" fontId="2" fillId="2" borderId="42" xfId="0" applyFont="1" applyFill="1" applyBorder="1" applyAlignment="1">
      <alignment horizontal="left" vertical="center" wrapText="1"/>
    </xf>
    <xf numFmtId="0" fontId="2" fillId="2" borderId="43" xfId="0" applyFont="1" applyFill="1" applyBorder="1" applyAlignment="1">
      <alignment horizontal="center" vertical="center" wrapText="1"/>
    </xf>
    <xf numFmtId="168" fontId="0" fillId="0" borderId="1" xfId="0" applyNumberFormat="1" applyBorder="1" applyAlignment="1">
      <alignment horizontal="center" vertical="center"/>
    </xf>
    <xf numFmtId="168" fontId="0" fillId="4" borderId="1" xfId="0" applyNumberFormat="1" applyFill="1" applyBorder="1"/>
    <xf numFmtId="0" fontId="0" fillId="0" borderId="54" xfId="0" applyBorder="1"/>
    <xf numFmtId="0" fontId="0" fillId="0" borderId="68" xfId="0" applyBorder="1"/>
    <xf numFmtId="164" fontId="0" fillId="0" borderId="0" xfId="0" applyNumberFormat="1"/>
    <xf numFmtId="164" fontId="2" fillId="2" borderId="1" xfId="1" applyNumberFormat="1" applyFont="1" applyFill="1" applyBorder="1" applyAlignment="1">
      <alignment vertical="center"/>
    </xf>
    <xf numFmtId="164" fontId="1" fillId="14" borderId="1" xfId="1" applyNumberFormat="1" applyFont="1" applyFill="1" applyBorder="1" applyAlignment="1">
      <alignment vertical="center"/>
    </xf>
    <xf numFmtId="0" fontId="9" fillId="0" borderId="1" xfId="0" applyFont="1" applyBorder="1" applyAlignment="1">
      <alignment horizontal="left" vertical="center" wrapText="1"/>
    </xf>
    <xf numFmtId="14" fontId="2" fillId="2" borderId="13" xfId="0" applyNumberFormat="1" applyFont="1" applyFill="1" applyBorder="1" applyAlignment="1">
      <alignment horizontal="center" vertical="center"/>
    </xf>
    <xf numFmtId="14" fontId="0" fillId="3" borderId="13" xfId="0" applyNumberForma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171" fontId="0" fillId="0" borderId="0" xfId="1" applyNumberFormat="1" applyFont="1" applyBorder="1" applyAlignment="1"/>
    <xf numFmtId="14" fontId="0" fillId="0" borderId="0" xfId="0" applyNumberFormat="1"/>
    <xf numFmtId="0" fontId="0" fillId="0" borderId="15" xfId="0" applyBorder="1" applyAlignment="1">
      <alignment horizontal="center" vertical="center"/>
    </xf>
    <xf numFmtId="14" fontId="0" fillId="0" borderId="16" xfId="0" applyNumberFormat="1" applyBorder="1" applyAlignment="1">
      <alignment horizontal="center" vertical="center"/>
    </xf>
    <xf numFmtId="171" fontId="6" fillId="0" borderId="15" xfId="1" applyNumberFormat="1" applyFont="1" applyBorder="1" applyAlignment="1">
      <alignment horizontal="center" vertical="center"/>
    </xf>
    <xf numFmtId="0" fontId="0" fillId="0" borderId="15" xfId="0" applyBorder="1" applyAlignment="1">
      <alignment horizontal="left" vertical="center" wrapText="1"/>
    </xf>
    <xf numFmtId="0" fontId="12" fillId="4" borderId="1" xfId="0" applyFont="1" applyFill="1" applyBorder="1" applyAlignment="1">
      <alignment horizontal="left" vertical="center" wrapText="1"/>
    </xf>
    <xf numFmtId="168" fontId="0" fillId="4" borderId="1" xfId="0" applyNumberFormat="1" applyFill="1" applyBorder="1" applyAlignment="1">
      <alignment horizontal="center" vertical="center"/>
    </xf>
    <xf numFmtId="0" fontId="12" fillId="4" borderId="12" xfId="0" applyFont="1" applyFill="1" applyBorder="1" applyAlignment="1">
      <alignment horizontal="center" vertical="center" wrapText="1"/>
    </xf>
    <xf numFmtId="168" fontId="0" fillId="0" borderId="15" xfId="0" applyNumberFormat="1" applyBorder="1" applyAlignment="1">
      <alignment horizontal="center" vertical="center"/>
    </xf>
    <xf numFmtId="168" fontId="0" fillId="4" borderId="1" xfId="0" applyNumberFormat="1" applyFill="1" applyBorder="1" applyAlignment="1">
      <alignment vertical="center"/>
    </xf>
    <xf numFmtId="168" fontId="0" fillId="4" borderId="15" xfId="0" applyNumberFormat="1" applyFill="1"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168" fontId="0" fillId="4" borderId="1" xfId="0" applyNumberFormat="1" applyFill="1" applyBorder="1" applyAlignment="1">
      <alignment horizontal="right" vertical="center"/>
    </xf>
    <xf numFmtId="168" fontId="0" fillId="0" borderId="1" xfId="0" applyNumberFormat="1" applyBorder="1" applyAlignment="1">
      <alignment horizontal="right" vertical="center"/>
    </xf>
    <xf numFmtId="165" fontId="0" fillId="0" borderId="0" xfId="0" applyNumberFormat="1"/>
    <xf numFmtId="0" fontId="2" fillId="21" borderId="8" xfId="0" applyFont="1" applyFill="1" applyBorder="1" applyAlignment="1">
      <alignment horizontal="center" vertical="center" wrapText="1"/>
    </xf>
    <xf numFmtId="0" fontId="2" fillId="21" borderId="9" xfId="0" applyFont="1" applyFill="1" applyBorder="1" applyAlignment="1">
      <alignment horizontal="center" vertical="center" wrapText="1"/>
    </xf>
    <xf numFmtId="0" fontId="2" fillId="21" borderId="11" xfId="0" applyFont="1" applyFill="1" applyBorder="1" applyAlignment="1">
      <alignment horizontal="center" vertical="center" wrapText="1"/>
    </xf>
    <xf numFmtId="14" fontId="0" fillId="3" borderId="13" xfId="0" applyNumberFormat="1" applyFill="1" applyBorder="1" applyAlignment="1">
      <alignment horizontal="center" vertical="center" wrapText="1"/>
    </xf>
    <xf numFmtId="14" fontId="9" fillId="0" borderId="13" xfId="0" applyNumberFormat="1" applyFont="1" applyBorder="1" applyAlignment="1">
      <alignment horizontal="center" vertical="center"/>
    </xf>
    <xf numFmtId="14" fontId="0" fillId="0" borderId="13" xfId="0" applyNumberFormat="1" applyBorder="1" applyAlignment="1">
      <alignment horizontal="center" vertical="center"/>
    </xf>
    <xf numFmtId="0" fontId="10" fillId="0" borderId="14" xfId="0" applyFont="1" applyBorder="1" applyAlignment="1">
      <alignment horizontal="right" vertical="center"/>
    </xf>
    <xf numFmtId="0" fontId="9" fillId="0" borderId="2" xfId="0" applyFont="1" applyBorder="1" applyAlignment="1">
      <alignment horizontal="left" vertical="center" wrapText="1"/>
    </xf>
    <xf numFmtId="14" fontId="9" fillId="0" borderId="2" xfId="0" applyNumberFormat="1" applyFont="1" applyBorder="1" applyAlignment="1">
      <alignment horizontal="center" vertical="center"/>
    </xf>
    <xf numFmtId="14" fontId="9" fillId="0" borderId="21" xfId="0" applyNumberFormat="1" applyFont="1" applyBorder="1" applyAlignment="1">
      <alignment horizontal="center" vertical="center"/>
    </xf>
    <xf numFmtId="0" fontId="12" fillId="4" borderId="14" xfId="0" applyFont="1" applyFill="1" applyBorder="1" applyAlignment="1">
      <alignment horizontal="center" vertical="center" wrapText="1"/>
    </xf>
    <xf numFmtId="0" fontId="12" fillId="4" borderId="15" xfId="0" applyFont="1" applyFill="1" applyBorder="1" applyAlignment="1">
      <alignment horizontal="left" vertical="center" wrapText="1"/>
    </xf>
    <xf numFmtId="168" fontId="0" fillId="0" borderId="15" xfId="0" applyNumberFormat="1" applyBorder="1" applyAlignment="1">
      <alignment horizontal="right" vertical="center"/>
    </xf>
    <xf numFmtId="0" fontId="12" fillId="4" borderId="15" xfId="0" applyFont="1" applyFill="1" applyBorder="1" applyAlignment="1">
      <alignment horizontal="center" vertical="center" wrapText="1"/>
    </xf>
    <xf numFmtId="0" fontId="2" fillId="2" borderId="15" xfId="0" applyFont="1" applyFill="1" applyBorder="1" applyAlignment="1">
      <alignment vertical="center" wrapText="1"/>
    </xf>
    <xf numFmtId="14" fontId="2" fillId="2" borderId="15" xfId="0" applyNumberFormat="1" applyFont="1" applyFill="1" applyBorder="1" applyAlignment="1">
      <alignment horizontal="center" vertical="center"/>
    </xf>
    <xf numFmtId="14" fontId="2" fillId="2" borderId="16" xfId="0" applyNumberFormat="1" applyFont="1" applyFill="1" applyBorder="1" applyAlignment="1">
      <alignment horizontal="center" vertical="center"/>
    </xf>
    <xf numFmtId="168" fontId="0" fillId="4" borderId="15" xfId="0" applyNumberFormat="1" applyFill="1" applyBorder="1" applyAlignment="1">
      <alignment vertical="center"/>
    </xf>
    <xf numFmtId="165" fontId="35" fillId="0" borderId="0" xfId="1" applyFont="1"/>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4" fontId="34" fillId="4" borderId="1" xfId="0" applyNumberFormat="1" applyFont="1" applyFill="1" applyBorder="1" applyAlignment="1">
      <alignment horizontal="center" vertical="center" wrapText="1"/>
    </xf>
    <xf numFmtId="0" fontId="2" fillId="2" borderId="2" xfId="0" applyFont="1" applyFill="1" applyBorder="1" applyAlignment="1">
      <alignment vertical="center" wrapText="1"/>
    </xf>
    <xf numFmtId="14" fontId="2" fillId="2" borderId="2" xfId="0" applyNumberFormat="1" applyFont="1" applyFill="1" applyBorder="1" applyAlignment="1">
      <alignment horizontal="center" vertical="center"/>
    </xf>
    <xf numFmtId="14" fontId="34" fillId="4" borderId="15" xfId="0" applyNumberFormat="1" applyFont="1" applyFill="1" applyBorder="1" applyAlignment="1">
      <alignment horizontal="center" vertical="center" wrapText="1"/>
    </xf>
    <xf numFmtId="14" fontId="2" fillId="2" borderId="21" xfId="0" applyNumberFormat="1" applyFont="1" applyFill="1" applyBorder="1" applyAlignment="1">
      <alignment horizontal="center" vertical="center"/>
    </xf>
    <xf numFmtId="0" fontId="0" fillId="0" borderId="1" xfId="0" applyBorder="1" applyAlignment="1">
      <alignment horizontal="center" vertical="center"/>
    </xf>
    <xf numFmtId="171" fontId="12" fillId="4" borderId="1" xfId="0" applyNumberFormat="1" applyFont="1" applyFill="1" applyBorder="1" applyAlignment="1">
      <alignment horizontal="center" vertical="center" wrapText="1"/>
    </xf>
    <xf numFmtId="14" fontId="0" fillId="3" borderId="21" xfId="0" applyNumberFormat="1" applyFill="1" applyBorder="1" applyAlignment="1">
      <alignment horizontal="center" vertical="center"/>
    </xf>
    <xf numFmtId="14" fontId="0" fillId="3" borderId="2" xfId="0" applyNumberFormat="1" applyFill="1" applyBorder="1" applyAlignment="1">
      <alignment horizontal="center" vertical="center" wrapText="1"/>
    </xf>
    <xf numFmtId="14" fontId="0" fillId="3" borderId="21" xfId="0" applyNumberFormat="1" applyFill="1" applyBorder="1" applyAlignment="1">
      <alignment horizontal="center" vertical="center" wrapText="1"/>
    </xf>
    <xf numFmtId="14" fontId="12" fillId="4" borderId="15" xfId="0" applyNumberFormat="1" applyFont="1" applyFill="1" applyBorder="1" applyAlignment="1">
      <alignment horizontal="center" vertical="center" wrapText="1"/>
    </xf>
    <xf numFmtId="14" fontId="0" fillId="0" borderId="15" xfId="0" applyNumberFormat="1" applyBorder="1" applyAlignment="1">
      <alignment horizontal="center" vertical="center"/>
    </xf>
    <xf numFmtId="0" fontId="18" fillId="4" borderId="49" xfId="0" applyFont="1" applyFill="1" applyBorder="1" applyAlignment="1">
      <alignment vertical="center"/>
    </xf>
    <xf numFmtId="165" fontId="18" fillId="4" borderId="52" xfId="1" applyFont="1" applyFill="1" applyBorder="1" applyAlignment="1">
      <alignment vertical="center"/>
    </xf>
    <xf numFmtId="165" fontId="18" fillId="4" borderId="32" xfId="1" applyFont="1" applyFill="1" applyBorder="1" applyAlignment="1">
      <alignment vertical="center"/>
    </xf>
    <xf numFmtId="165" fontId="18" fillId="4" borderId="3" xfId="1" applyFont="1" applyFill="1" applyBorder="1" applyAlignment="1">
      <alignment vertical="center"/>
    </xf>
    <xf numFmtId="165" fontId="18" fillId="4" borderId="31" xfId="1" applyFont="1" applyFill="1" applyBorder="1" applyAlignment="1">
      <alignment vertical="center"/>
    </xf>
    <xf numFmtId="165" fontId="18" fillId="3" borderId="36" xfId="1" applyFont="1" applyFill="1" applyBorder="1" applyAlignment="1">
      <alignment vertical="center"/>
    </xf>
    <xf numFmtId="165" fontId="18" fillId="3" borderId="25" xfId="1" applyFont="1" applyFill="1" applyBorder="1" applyAlignment="1">
      <alignment vertical="center"/>
    </xf>
    <xf numFmtId="165" fontId="18" fillId="3" borderId="26" xfId="1" applyFont="1" applyFill="1" applyBorder="1" applyAlignment="1">
      <alignment vertical="center"/>
    </xf>
    <xf numFmtId="165" fontId="18" fillId="3" borderId="27" xfId="1" applyFont="1" applyFill="1" applyBorder="1" applyAlignment="1">
      <alignment vertical="center"/>
    </xf>
    <xf numFmtId="165" fontId="18" fillId="4" borderId="49" xfId="1" applyFont="1" applyFill="1" applyBorder="1" applyAlignment="1">
      <alignment vertical="center"/>
    </xf>
    <xf numFmtId="0" fontId="10" fillId="0" borderId="0" xfId="0" applyFont="1" applyAlignment="1">
      <alignment horizontal="right" vertical="center"/>
    </xf>
    <xf numFmtId="0" fontId="12" fillId="4" borderId="0" xfId="0" applyFont="1" applyFill="1" applyAlignment="1">
      <alignment horizontal="center" vertical="center" wrapText="1"/>
    </xf>
    <xf numFmtId="14" fontId="12" fillId="4" borderId="0" xfId="0" applyNumberFormat="1" applyFont="1" applyFill="1" applyAlignment="1">
      <alignment horizontal="center" vertical="center" wrapText="1"/>
    </xf>
    <xf numFmtId="0" fontId="36" fillId="6" borderId="36" xfId="0" applyFont="1" applyFill="1" applyBorder="1" applyAlignment="1">
      <alignment horizontal="right" vertical="center" wrapText="1"/>
    </xf>
    <xf numFmtId="168" fontId="2" fillId="6" borderId="37" xfId="0" applyNumberFormat="1" applyFont="1" applyFill="1" applyBorder="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horizontal="center" vertical="center"/>
    </xf>
    <xf numFmtId="14" fontId="34" fillId="4" borderId="0" xfId="0" applyNumberFormat="1" applyFont="1" applyFill="1" applyAlignment="1">
      <alignment horizontal="center" vertical="center" wrapText="1"/>
    </xf>
    <xf numFmtId="0" fontId="36" fillId="30" borderId="36" xfId="0" applyFont="1" applyFill="1" applyBorder="1" applyAlignment="1">
      <alignment horizontal="right" vertical="center" wrapText="1"/>
    </xf>
    <xf numFmtId="168" fontId="2" fillId="30" borderId="37" xfId="0" applyNumberFormat="1" applyFont="1" applyFill="1" applyBorder="1" applyAlignment="1">
      <alignment horizontal="center" vertical="center"/>
    </xf>
    <xf numFmtId="0" fontId="0" fillId="3" borderId="0" xfId="0" applyFill="1" applyAlignment="1">
      <alignment horizontal="left" vertical="center" wrapText="1"/>
    </xf>
    <xf numFmtId="0" fontId="0" fillId="9"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0" fillId="3" borderId="54" xfId="0" applyFill="1" applyBorder="1" applyAlignment="1">
      <alignment horizontal="left" vertical="center" wrapText="1"/>
    </xf>
    <xf numFmtId="0" fontId="0" fillId="9" borderId="54" xfId="0" applyFill="1" applyBorder="1"/>
    <xf numFmtId="0" fontId="0" fillId="4" borderId="54" xfId="0" applyFill="1" applyBorder="1" applyAlignment="1">
      <alignment horizontal="left" vertical="center" wrapText="1"/>
    </xf>
    <xf numFmtId="168" fontId="0" fillId="4" borderId="54" xfId="0" applyNumberFormat="1" applyFill="1" applyBorder="1" applyAlignment="1">
      <alignment horizontal="center" vertical="center"/>
    </xf>
    <xf numFmtId="172" fontId="0" fillId="4" borderId="66" xfId="1" applyNumberFormat="1" applyFont="1" applyFill="1" applyBorder="1" applyAlignment="1">
      <alignment horizontal="center" vertical="center"/>
    </xf>
    <xf numFmtId="0" fontId="0" fillId="3" borderId="68" xfId="0" applyFill="1" applyBorder="1" applyAlignment="1">
      <alignment horizontal="left" vertical="center" wrapText="1"/>
    </xf>
    <xf numFmtId="0" fontId="0" fillId="9" borderId="68" xfId="0" applyFill="1" applyBorder="1"/>
    <xf numFmtId="0" fontId="0" fillId="4" borderId="68" xfId="0" applyFill="1" applyBorder="1" applyAlignment="1">
      <alignment vertical="center" wrapText="1"/>
    </xf>
    <xf numFmtId="168" fontId="0" fillId="4" borderId="68" xfId="0" applyNumberFormat="1" applyFill="1" applyBorder="1" applyAlignment="1">
      <alignment vertical="center"/>
    </xf>
    <xf numFmtId="172" fontId="0" fillId="4" borderId="69" xfId="1" applyNumberFormat="1" applyFont="1" applyFill="1" applyBorder="1" applyAlignment="1">
      <alignment horizontal="center" vertical="center"/>
    </xf>
    <xf numFmtId="168" fontId="0" fillId="0" borderId="54" xfId="0" applyNumberFormat="1" applyBorder="1"/>
    <xf numFmtId="172" fontId="0" fillId="0" borderId="66" xfId="1" applyNumberFormat="1" applyFont="1" applyBorder="1" applyAlignment="1">
      <alignment horizontal="center" vertical="center"/>
    </xf>
    <xf numFmtId="172" fontId="0" fillId="0" borderId="67" xfId="1" applyNumberFormat="1" applyFont="1" applyBorder="1" applyAlignment="1">
      <alignment horizontal="center" vertical="center"/>
    </xf>
    <xf numFmtId="168" fontId="0" fillId="0" borderId="68" xfId="0" applyNumberFormat="1" applyBorder="1"/>
    <xf numFmtId="0" fontId="0" fillId="0" borderId="0" xfId="0" applyAlignment="1">
      <alignment horizontal="left"/>
    </xf>
    <xf numFmtId="168" fontId="0" fillId="0" borderId="0" xfId="0" applyNumberFormat="1" applyAlignment="1">
      <alignment horizontal="left"/>
    </xf>
    <xf numFmtId="0" fontId="0" fillId="0" borderId="54" xfId="0" applyBorder="1" applyAlignment="1">
      <alignment horizontal="left" vertical="center"/>
    </xf>
    <xf numFmtId="168" fontId="0" fillId="0" borderId="54" xfId="0" applyNumberFormat="1" applyBorder="1" applyAlignment="1">
      <alignment horizontal="left" vertical="center"/>
    </xf>
    <xf numFmtId="0" fontId="0" fillId="4" borderId="0" xfId="0" applyFill="1"/>
    <xf numFmtId="168" fontId="0" fillId="4" borderId="0" xfId="0" applyNumberFormat="1" applyFill="1"/>
    <xf numFmtId="0" fontId="0" fillId="4" borderId="54" xfId="0" applyFill="1" applyBorder="1" applyAlignment="1">
      <alignment vertical="center" wrapText="1"/>
    </xf>
    <xf numFmtId="0" fontId="0" fillId="4" borderId="54" xfId="0" applyFill="1" applyBorder="1"/>
    <xf numFmtId="168" fontId="0" fillId="4" borderId="54" xfId="0" applyNumberFormat="1" applyFill="1" applyBorder="1"/>
    <xf numFmtId="0" fontId="4" fillId="16" borderId="54" xfId="0" applyFont="1" applyFill="1" applyBorder="1" applyAlignment="1">
      <alignment vertical="center" wrapText="1"/>
    </xf>
    <xf numFmtId="168" fontId="14" fillId="4" borderId="0" xfId="0" applyNumberFormat="1" applyFont="1" applyFill="1" applyAlignment="1">
      <alignment horizontal="center" wrapText="1"/>
    </xf>
    <xf numFmtId="168" fontId="14" fillId="4" borderId="54" xfId="0" applyNumberFormat="1" applyFont="1" applyFill="1" applyBorder="1" applyAlignment="1">
      <alignment horizontal="center" wrapText="1"/>
    </xf>
    <xf numFmtId="0" fontId="5" fillId="4" borderId="0" xfId="0" applyFont="1" applyFill="1" applyAlignment="1">
      <alignment horizontal="left" vertical="center" wrapText="1"/>
    </xf>
    <xf numFmtId="0" fontId="0" fillId="3" borderId="0" xfId="0" applyFill="1" applyAlignment="1">
      <alignment horizontal="center" vertical="center" wrapText="1"/>
    </xf>
    <xf numFmtId="0" fontId="5" fillId="4" borderId="0" xfId="0" applyFont="1" applyFill="1" applyAlignment="1">
      <alignment horizontal="center" vertical="center" wrapText="1"/>
    </xf>
    <xf numFmtId="0" fontId="5" fillId="4" borderId="5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4" xfId="0" applyFont="1" applyFill="1" applyBorder="1" applyAlignment="1">
      <alignment horizontal="left" vertical="center" wrapText="1"/>
    </xf>
    <xf numFmtId="0" fontId="4" fillId="16" borderId="0" xfId="0" applyFont="1" applyFill="1" applyAlignment="1">
      <alignment horizontal="left" vertical="center" wrapText="1"/>
    </xf>
    <xf numFmtId="0" fontId="4" fillId="16" borderId="54" xfId="0" applyFont="1" applyFill="1" applyBorder="1" applyAlignment="1">
      <alignment horizontal="left" vertical="center" wrapText="1"/>
    </xf>
    <xf numFmtId="172" fontId="0" fillId="0" borderId="66" xfId="0" applyNumberFormat="1" applyBorder="1" applyAlignment="1">
      <alignment horizontal="center" vertical="center"/>
    </xf>
    <xf numFmtId="172" fontId="0" fillId="0" borderId="67" xfId="0" applyNumberFormat="1" applyBorder="1" applyAlignment="1">
      <alignment horizontal="center" vertical="center"/>
    </xf>
    <xf numFmtId="172" fontId="0" fillId="0" borderId="69" xfId="0" applyNumberFormat="1" applyBorder="1" applyAlignment="1">
      <alignment horizontal="center" vertical="center"/>
    </xf>
    <xf numFmtId="0" fontId="30" fillId="21" borderId="36" xfId="0" applyFont="1" applyFill="1" applyBorder="1" applyAlignment="1">
      <alignment horizontal="right" vertical="center"/>
    </xf>
    <xf numFmtId="168" fontId="30" fillId="21" borderId="38" xfId="0" applyNumberFormat="1" applyFont="1" applyFill="1" applyBorder="1" applyAlignment="1">
      <alignment horizontal="right" vertical="center"/>
    </xf>
    <xf numFmtId="172" fontId="30" fillId="21" borderId="37" xfId="0" applyNumberFormat="1" applyFont="1" applyFill="1" applyBorder="1" applyAlignment="1">
      <alignment horizontal="right" vertical="center"/>
    </xf>
    <xf numFmtId="0" fontId="36" fillId="6" borderId="44" xfId="0" applyFont="1" applyFill="1" applyBorder="1" applyAlignment="1">
      <alignment horizontal="right" vertical="center" wrapText="1"/>
    </xf>
    <xf numFmtId="168" fontId="2" fillId="6" borderId="69" xfId="0" applyNumberFormat="1" applyFont="1" applyFill="1" applyBorder="1" applyAlignment="1">
      <alignment horizontal="center" vertical="center"/>
    </xf>
    <xf numFmtId="0" fontId="0" fillId="0" borderId="1" xfId="0" applyBorder="1" applyAlignment="1">
      <alignment vertical="center" wrapText="1"/>
    </xf>
    <xf numFmtId="0" fontId="2" fillId="12" borderId="8" xfId="0" applyFont="1" applyFill="1" applyBorder="1" applyAlignment="1">
      <alignment horizontal="center" vertical="center"/>
    </xf>
    <xf numFmtId="0" fontId="2" fillId="12" borderId="9" xfId="0" applyFont="1" applyFill="1" applyBorder="1" applyAlignment="1">
      <alignment horizontal="center" vertical="center"/>
    </xf>
    <xf numFmtId="0" fontId="1" fillId="14" borderId="1" xfId="0" applyFont="1" applyFill="1" applyBorder="1" applyAlignment="1">
      <alignment vertical="center" wrapText="1"/>
    </xf>
    <xf numFmtId="0" fontId="1" fillId="10" borderId="1" xfId="0" applyFont="1" applyFill="1" applyBorder="1" applyAlignment="1">
      <alignment horizontal="left" vertical="center" wrapText="1"/>
    </xf>
    <xf numFmtId="165" fontId="0" fillId="3" borderId="35" xfId="1" applyFont="1" applyFill="1" applyBorder="1" applyAlignment="1">
      <alignment horizontal="left" vertical="center" wrapText="1"/>
    </xf>
    <xf numFmtId="165" fontId="0" fillId="3" borderId="2" xfId="1" applyFont="1" applyFill="1" applyBorder="1" applyAlignment="1">
      <alignment horizontal="left" vertical="center" wrapText="1"/>
    </xf>
    <xf numFmtId="0" fontId="2" fillId="12" borderId="11" xfId="0" applyFont="1" applyFill="1" applyBorder="1" applyAlignment="1">
      <alignment horizontal="center" vertical="center"/>
    </xf>
    <xf numFmtId="165" fontId="9" fillId="4" borderId="19" xfId="1" applyFont="1" applyFill="1" applyBorder="1" applyAlignment="1">
      <alignment horizontal="left" vertical="center" wrapText="1"/>
    </xf>
    <xf numFmtId="0" fontId="9" fillId="0" borderId="1" xfId="0" applyFont="1" applyBorder="1" applyAlignment="1">
      <alignment vertical="center" wrapText="1"/>
    </xf>
    <xf numFmtId="0" fontId="4" fillId="16" borderId="0" xfId="0" applyFont="1" applyFill="1" applyAlignment="1">
      <alignment vertical="center" wrapText="1"/>
    </xf>
    <xf numFmtId="168" fontId="0" fillId="4" borderId="68" xfId="0" applyNumberFormat="1" applyFill="1" applyBorder="1"/>
    <xf numFmtId="172" fontId="0" fillId="0" borderId="69" xfId="1" applyNumberFormat="1" applyFont="1" applyBorder="1" applyAlignment="1">
      <alignment horizontal="center" vertical="center"/>
    </xf>
    <xf numFmtId="0" fontId="36" fillId="4" borderId="0" xfId="0" applyFont="1" applyFill="1" applyAlignment="1">
      <alignment horizontal="right" vertical="center" wrapText="1"/>
    </xf>
    <xf numFmtId="168" fontId="2" fillId="4" borderId="0" xfId="0" applyNumberFormat="1" applyFont="1" applyFill="1" applyAlignment="1">
      <alignment horizontal="center" vertical="center"/>
    </xf>
    <xf numFmtId="0" fontId="0" fillId="4" borderId="0" xfId="0" applyFill="1" applyAlignment="1">
      <alignment horizontal="center" vertical="center"/>
    </xf>
    <xf numFmtId="14" fontId="0" fillId="4" borderId="1" xfId="0" applyNumberFormat="1" applyFill="1" applyBorder="1" applyAlignment="1">
      <alignment horizontal="center" vertical="center"/>
    </xf>
    <xf numFmtId="14" fontId="0" fillId="4" borderId="13" xfId="0" applyNumberFormat="1" applyFill="1" applyBorder="1" applyAlignment="1">
      <alignment horizontal="center" vertical="center"/>
    </xf>
    <xf numFmtId="14" fontId="0" fillId="4" borderId="15" xfId="0" applyNumberFormat="1" applyFill="1" applyBorder="1" applyAlignment="1">
      <alignment horizontal="center" vertical="center"/>
    </xf>
    <xf numFmtId="14" fontId="0" fillId="4" borderId="16" xfId="0" applyNumberFormat="1" applyFill="1" applyBorder="1" applyAlignment="1">
      <alignment horizontal="center" vertical="center"/>
    </xf>
    <xf numFmtId="14" fontId="0" fillId="4" borderId="0" xfId="0" applyNumberFormat="1" applyFill="1" applyAlignment="1">
      <alignment horizontal="center" vertical="center"/>
    </xf>
    <xf numFmtId="0" fontId="0" fillId="4" borderId="12" xfId="0" applyFill="1" applyBorder="1" applyAlignment="1">
      <alignment horizontal="center" vertical="center"/>
    </xf>
    <xf numFmtId="0" fontId="0" fillId="4" borderId="14" xfId="0" applyFill="1" applyBorder="1" applyAlignment="1">
      <alignment horizontal="center" vertical="center"/>
    </xf>
    <xf numFmtId="165" fontId="0" fillId="0" borderId="0" xfId="0" applyNumberFormat="1" applyAlignment="1">
      <alignment vertical="center"/>
    </xf>
    <xf numFmtId="165" fontId="1" fillId="10" borderId="32" xfId="1" applyFont="1" applyFill="1" applyBorder="1" applyAlignment="1">
      <alignment horizontal="center" vertical="center"/>
    </xf>
    <xf numFmtId="165" fontId="1" fillId="10" borderId="3" xfId="1" applyFont="1" applyFill="1" applyBorder="1" applyAlignment="1">
      <alignment horizontal="center" vertical="center"/>
    </xf>
    <xf numFmtId="165" fontId="1" fillId="10" borderId="31" xfId="1" applyFont="1" applyFill="1" applyBorder="1" applyAlignment="1">
      <alignment horizontal="center" vertical="center"/>
    </xf>
    <xf numFmtId="165" fontId="0" fillId="3" borderId="21" xfId="1" applyFont="1" applyFill="1" applyBorder="1" applyAlignment="1">
      <alignment horizontal="left" vertical="center" wrapText="1"/>
    </xf>
    <xf numFmtId="165" fontId="1" fillId="13" borderId="13" xfId="1" applyFont="1" applyFill="1" applyBorder="1" applyAlignment="1">
      <alignment vertical="center"/>
    </xf>
    <xf numFmtId="0" fontId="2" fillId="2" borderId="35" xfId="0" applyFont="1" applyFill="1" applyBorder="1" applyAlignment="1">
      <alignment horizontal="right" vertical="center"/>
    </xf>
    <xf numFmtId="0" fontId="2" fillId="2" borderId="2" xfId="0" applyFont="1" applyFill="1" applyBorder="1" applyAlignment="1">
      <alignment horizontal="center" vertical="center"/>
    </xf>
    <xf numFmtId="164" fontId="2" fillId="2" borderId="2" xfId="1" applyNumberFormat="1" applyFont="1" applyFill="1" applyBorder="1" applyAlignment="1">
      <alignment vertical="center"/>
    </xf>
    <xf numFmtId="165" fontId="2" fillId="2" borderId="35" xfId="1" applyFont="1" applyFill="1" applyBorder="1" applyAlignment="1">
      <alignment vertical="center"/>
    </xf>
    <xf numFmtId="165" fontId="2" fillId="2" borderId="2" xfId="1" applyFont="1" applyFill="1" applyBorder="1" applyAlignment="1">
      <alignment vertical="center"/>
    </xf>
    <xf numFmtId="165" fontId="2" fillId="2" borderId="21" xfId="1" applyFont="1" applyFill="1" applyBorder="1" applyAlignment="1">
      <alignment vertical="center"/>
    </xf>
    <xf numFmtId="49" fontId="1" fillId="13" borderId="8" xfId="0" applyNumberFormat="1" applyFont="1" applyFill="1" applyBorder="1" applyAlignment="1">
      <alignment horizontal="right" vertical="center"/>
    </xf>
    <xf numFmtId="0" fontId="1" fillId="13" borderId="9" xfId="0" applyFont="1" applyFill="1" applyBorder="1" applyAlignment="1">
      <alignment vertical="center" wrapText="1"/>
    </xf>
    <xf numFmtId="14" fontId="1" fillId="13" borderId="9" xfId="0" applyNumberFormat="1" applyFont="1" applyFill="1" applyBorder="1" applyAlignment="1">
      <alignment horizontal="center" vertical="center"/>
    </xf>
    <xf numFmtId="0" fontId="1" fillId="13" borderId="9" xfId="0" applyFont="1" applyFill="1" applyBorder="1" applyAlignment="1">
      <alignment horizontal="center" vertical="center"/>
    </xf>
    <xf numFmtId="165" fontId="1" fillId="13" borderId="9" xfId="1" applyFont="1" applyFill="1" applyBorder="1" applyAlignment="1">
      <alignment vertical="center"/>
    </xf>
    <xf numFmtId="165" fontId="1" fillId="13" borderId="8" xfId="1" applyFont="1" applyFill="1" applyBorder="1" applyAlignment="1">
      <alignment vertical="center"/>
    </xf>
    <xf numFmtId="165" fontId="1" fillId="13" borderId="11" xfId="1" applyFont="1" applyFill="1" applyBorder="1" applyAlignment="1">
      <alignment vertical="center"/>
    </xf>
    <xf numFmtId="0" fontId="2" fillId="2" borderId="14" xfId="0" applyFont="1" applyFill="1" applyBorder="1" applyAlignment="1">
      <alignment horizontal="right" vertical="center"/>
    </xf>
    <xf numFmtId="0" fontId="2" fillId="2" borderId="15" xfId="0" applyFont="1" applyFill="1" applyBorder="1" applyAlignment="1">
      <alignment horizontal="center" vertical="center"/>
    </xf>
    <xf numFmtId="165" fontId="2" fillId="2" borderId="15" xfId="1" applyFont="1" applyFill="1" applyBorder="1" applyAlignment="1">
      <alignment vertical="center"/>
    </xf>
    <xf numFmtId="165" fontId="2" fillId="2" borderId="14" xfId="1" applyFont="1" applyFill="1" applyBorder="1" applyAlignment="1">
      <alignment vertical="center"/>
    </xf>
    <xf numFmtId="165" fontId="2" fillId="2" borderId="16" xfId="1" applyFont="1" applyFill="1" applyBorder="1" applyAlignment="1">
      <alignment vertical="center"/>
    </xf>
    <xf numFmtId="0" fontId="2" fillId="3" borderId="35" xfId="0" applyFont="1" applyFill="1" applyBorder="1" applyAlignment="1">
      <alignment horizontal="right" vertical="center"/>
    </xf>
    <xf numFmtId="0" fontId="0" fillId="3" borderId="2" xfId="0" applyFill="1" applyBorder="1" applyAlignment="1">
      <alignment horizontal="center" vertical="center" wrapText="1"/>
    </xf>
    <xf numFmtId="165" fontId="2" fillId="2" borderId="6" xfId="1" applyFont="1" applyFill="1" applyBorder="1" applyAlignment="1">
      <alignment vertical="center"/>
    </xf>
    <xf numFmtId="165" fontId="1" fillId="14" borderId="29" xfId="1" applyFont="1" applyFill="1" applyBorder="1" applyAlignment="1">
      <alignment vertical="center"/>
    </xf>
    <xf numFmtId="0" fontId="2" fillId="12" borderId="27" xfId="0" applyFont="1" applyFill="1" applyBorder="1" applyAlignment="1">
      <alignment horizontal="center" vertical="center" wrapText="1"/>
    </xf>
    <xf numFmtId="165" fontId="1" fillId="10" borderId="31" xfId="1" applyFont="1" applyFill="1" applyBorder="1" applyAlignment="1">
      <alignment vertical="center"/>
    </xf>
    <xf numFmtId="165" fontId="1" fillId="15" borderId="13" xfId="1" applyFont="1" applyFill="1" applyBorder="1" applyAlignment="1">
      <alignment vertical="center"/>
    </xf>
    <xf numFmtId="165" fontId="2" fillId="3" borderId="13" xfId="1" applyFont="1" applyFill="1" applyBorder="1" applyAlignment="1">
      <alignment vertical="center"/>
    </xf>
    <xf numFmtId="14" fontId="1" fillId="10"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165" fontId="2" fillId="2" borderId="83" xfId="1" applyFont="1" applyFill="1" applyBorder="1" applyAlignment="1">
      <alignment vertical="center"/>
    </xf>
    <xf numFmtId="0" fontId="0" fillId="31" borderId="0" xfId="0" applyFill="1"/>
    <xf numFmtId="0" fontId="0" fillId="28" borderId="43" xfId="0" applyFill="1" applyBorder="1"/>
    <xf numFmtId="0" fontId="0" fillId="0" borderId="67" xfId="0" applyBorder="1"/>
    <xf numFmtId="0" fontId="0" fillId="27" borderId="44" xfId="0" applyFill="1" applyBorder="1"/>
    <xf numFmtId="0" fontId="0" fillId="0" borderId="69" xfId="0" applyBorder="1"/>
    <xf numFmtId="0" fontId="0" fillId="0" borderId="0" xfId="0" applyAlignment="1">
      <alignment horizontal="left" vertical="center"/>
    </xf>
    <xf numFmtId="0" fontId="0" fillId="0" borderId="68" xfId="0" applyBorder="1" applyAlignment="1">
      <alignment horizontal="left" vertical="center"/>
    </xf>
    <xf numFmtId="170" fontId="24" fillId="28" borderId="58" xfId="1" applyNumberFormat="1" applyFont="1" applyFill="1" applyBorder="1" applyAlignment="1">
      <alignment horizontal="left" vertical="center" wrapText="1" indent="2"/>
    </xf>
    <xf numFmtId="165" fontId="27" fillId="28" borderId="58" xfId="1" applyFont="1" applyFill="1" applyBorder="1" applyAlignment="1">
      <alignment horizontal="left" vertical="center" shrinkToFit="1"/>
    </xf>
    <xf numFmtId="0" fontId="0" fillId="4" borderId="1" xfId="0" applyFill="1" applyBorder="1" applyAlignment="1">
      <alignment horizontal="center" vertical="center"/>
    </xf>
    <xf numFmtId="0" fontId="0" fillId="4" borderId="15" xfId="0" applyFill="1" applyBorder="1" applyAlignment="1">
      <alignment horizontal="center" vertical="center"/>
    </xf>
    <xf numFmtId="169" fontId="0" fillId="0" borderId="0" xfId="0" applyNumberFormat="1" applyAlignment="1">
      <alignment vertical="center"/>
    </xf>
    <xf numFmtId="0" fontId="0" fillId="32" borderId="0" xfId="0" applyFill="1"/>
    <xf numFmtId="0" fontId="0" fillId="0" borderId="1" xfId="0" applyBorder="1" applyAlignment="1">
      <alignment horizontal="left" vertical="center" wrapText="1"/>
    </xf>
    <xf numFmtId="14" fontId="0" fillId="0" borderId="1" xfId="1" applyNumberFormat="1" applyFont="1" applyBorder="1" applyAlignment="1">
      <alignment horizontal="center" vertical="center"/>
    </xf>
    <xf numFmtId="171" fontId="0" fillId="0" borderId="1" xfId="1" applyNumberFormat="1" applyFont="1" applyBorder="1" applyAlignment="1">
      <alignment horizontal="center" vertical="center"/>
    </xf>
    <xf numFmtId="0" fontId="2" fillId="21" borderId="22" xfId="0" applyFont="1" applyFill="1" applyBorder="1" applyAlignment="1">
      <alignment horizontal="center" vertical="center" wrapText="1"/>
    </xf>
    <xf numFmtId="165" fontId="0" fillId="0" borderId="0" xfId="1" applyFont="1" applyAlignment="1">
      <alignment horizontal="center" vertical="center"/>
    </xf>
    <xf numFmtId="165" fontId="0" fillId="3" borderId="1" xfId="1" applyFont="1" applyFill="1" applyBorder="1" applyAlignment="1">
      <alignment horizontal="center" vertical="center"/>
    </xf>
    <xf numFmtId="165" fontId="0" fillId="0" borderId="0" xfId="1" applyFont="1" applyFill="1" applyAlignment="1">
      <alignment horizontal="center" vertical="center"/>
    </xf>
    <xf numFmtId="165" fontId="2" fillId="12" borderId="33" xfId="1" applyFont="1" applyFill="1" applyBorder="1" applyAlignment="1">
      <alignment horizontal="center" vertical="center" wrapText="1"/>
    </xf>
    <xf numFmtId="165" fontId="2" fillId="12" borderId="10" xfId="1" applyFont="1" applyFill="1" applyBorder="1" applyAlignment="1">
      <alignment horizontal="center" vertical="center" wrapText="1"/>
    </xf>
    <xf numFmtId="165" fontId="2" fillId="12" borderId="75" xfId="1" applyFont="1" applyFill="1" applyBorder="1" applyAlignment="1">
      <alignment horizontal="center" vertical="center" wrapText="1"/>
    </xf>
    <xf numFmtId="165" fontId="0" fillId="3" borderId="9" xfId="1" applyFont="1" applyFill="1" applyBorder="1" applyAlignment="1">
      <alignment horizontal="center" vertical="center"/>
    </xf>
    <xf numFmtId="165" fontId="0" fillId="3" borderId="12" xfId="1" applyFont="1" applyFill="1" applyBorder="1" applyAlignment="1">
      <alignment horizontal="center" vertical="center"/>
    </xf>
    <xf numFmtId="165" fontId="0" fillId="3" borderId="13" xfId="1" applyFont="1" applyFill="1" applyBorder="1" applyAlignment="1">
      <alignment horizontal="center" vertical="center"/>
    </xf>
    <xf numFmtId="165" fontId="0" fillId="3" borderId="15" xfId="1" applyFont="1" applyFill="1" applyBorder="1" applyAlignment="1">
      <alignment horizontal="center" vertical="center"/>
    </xf>
    <xf numFmtId="165" fontId="1" fillId="10" borderId="28" xfId="1" applyFont="1" applyFill="1" applyBorder="1" applyAlignment="1">
      <alignment horizontal="center" vertical="center"/>
    </xf>
    <xf numFmtId="49" fontId="1" fillId="13" borderId="35" xfId="0" applyNumberFormat="1" applyFont="1" applyFill="1" applyBorder="1" applyAlignment="1">
      <alignment horizontal="right" vertical="center"/>
    </xf>
    <xf numFmtId="0" fontId="1" fillId="13" borderId="2" xfId="0" applyFont="1" applyFill="1" applyBorder="1" applyAlignment="1">
      <alignment vertical="center" wrapText="1"/>
    </xf>
    <xf numFmtId="14" fontId="1" fillId="13" borderId="2" xfId="0" applyNumberFormat="1" applyFont="1" applyFill="1" applyBorder="1" applyAlignment="1">
      <alignment horizontal="center" vertical="center"/>
    </xf>
    <xf numFmtId="0" fontId="1" fillId="13" borderId="2" xfId="0" applyFont="1" applyFill="1" applyBorder="1" applyAlignment="1">
      <alignment horizontal="center" vertical="center"/>
    </xf>
    <xf numFmtId="165" fontId="1" fillId="13" borderId="2" xfId="1" applyFont="1" applyFill="1" applyBorder="1" applyAlignment="1">
      <alignment vertical="center"/>
    </xf>
    <xf numFmtId="165" fontId="1" fillId="13" borderId="35" xfId="1" applyFont="1" applyFill="1" applyBorder="1" applyAlignment="1">
      <alignment vertical="center"/>
    </xf>
    <xf numFmtId="165" fontId="1" fillId="13" borderId="21" xfId="1" applyFont="1" applyFill="1" applyBorder="1" applyAlignment="1">
      <alignment vertical="center"/>
    </xf>
    <xf numFmtId="165" fontId="1" fillId="13" borderId="46" xfId="1" applyFont="1" applyFill="1" applyBorder="1" applyAlignment="1">
      <alignment vertical="center"/>
    </xf>
    <xf numFmtId="165" fontId="1" fillId="13" borderId="86" xfId="1" applyFont="1" applyFill="1" applyBorder="1" applyAlignment="1">
      <alignment vertical="center"/>
    </xf>
    <xf numFmtId="165" fontId="1" fillId="13" borderId="87" xfId="1" applyFont="1" applyFill="1" applyBorder="1" applyAlignment="1">
      <alignment vertical="center"/>
    </xf>
    <xf numFmtId="0" fontId="1" fillId="14" borderId="9" xfId="0" applyFont="1" applyFill="1" applyBorder="1" applyAlignment="1">
      <alignment horizontal="center" vertical="center"/>
    </xf>
    <xf numFmtId="164" fontId="1" fillId="14" borderId="9" xfId="1" applyNumberFormat="1" applyFont="1" applyFill="1" applyBorder="1" applyAlignment="1">
      <alignment vertical="center"/>
    </xf>
    <xf numFmtId="165" fontId="1" fillId="14" borderId="9" xfId="1" applyFont="1" applyFill="1" applyBorder="1" applyAlignment="1">
      <alignment vertical="center"/>
    </xf>
    <xf numFmtId="165" fontId="1" fillId="14" borderId="8" xfId="1" applyFont="1" applyFill="1" applyBorder="1" applyAlignment="1">
      <alignment vertical="center"/>
    </xf>
    <xf numFmtId="165" fontId="1" fillId="14" borderId="11" xfId="1" applyFont="1" applyFill="1" applyBorder="1" applyAlignment="1">
      <alignment vertical="center"/>
    </xf>
    <xf numFmtId="165" fontId="1" fillId="10" borderId="4" xfId="1" applyFont="1" applyFill="1" applyBorder="1" applyAlignment="1">
      <alignment vertical="center"/>
    </xf>
    <xf numFmtId="165" fontId="1" fillId="13" borderId="63" xfId="1" applyFont="1" applyFill="1" applyBorder="1" applyAlignment="1">
      <alignment vertical="center"/>
    </xf>
    <xf numFmtId="165" fontId="1" fillId="14" borderId="22" xfId="1" applyFont="1" applyFill="1" applyBorder="1" applyAlignment="1">
      <alignment vertical="center"/>
    </xf>
    <xf numFmtId="165" fontId="1" fillId="13" borderId="6" xfId="1" applyFont="1" applyFill="1" applyBorder="1" applyAlignment="1">
      <alignment vertical="center"/>
    </xf>
    <xf numFmtId="165" fontId="1" fillId="14" borderId="6" xfId="1" applyFont="1" applyFill="1" applyBorder="1" applyAlignment="1">
      <alignment vertical="center"/>
    </xf>
    <xf numFmtId="165" fontId="1" fillId="15" borderId="6" xfId="1" applyFont="1" applyFill="1" applyBorder="1" applyAlignment="1">
      <alignment vertical="center"/>
    </xf>
    <xf numFmtId="165" fontId="0" fillId="3" borderId="6" xfId="1" applyFont="1" applyFill="1" applyBorder="1" applyAlignment="1">
      <alignment vertical="center"/>
    </xf>
    <xf numFmtId="165" fontId="9" fillId="0" borderId="6" xfId="1" applyFont="1" applyBorder="1" applyAlignment="1">
      <alignment horizontal="center" vertical="center"/>
    </xf>
    <xf numFmtId="165" fontId="2" fillId="3" borderId="6" xfId="1" applyFont="1" applyFill="1" applyBorder="1" applyAlignment="1">
      <alignment vertical="center"/>
    </xf>
    <xf numFmtId="165" fontId="0" fillId="3" borderId="6" xfId="1" applyFont="1" applyFill="1" applyBorder="1" applyAlignment="1">
      <alignment horizontal="left" vertical="center" wrapText="1"/>
    </xf>
    <xf numFmtId="165" fontId="9" fillId="4" borderId="6" xfId="1" applyFont="1" applyFill="1" applyBorder="1" applyAlignment="1">
      <alignment horizontal="left" vertical="center" wrapText="1"/>
    </xf>
    <xf numFmtId="165" fontId="1" fillId="13" borderId="82" xfId="1" applyFont="1" applyFill="1" applyBorder="1" applyAlignment="1">
      <alignment vertical="center"/>
    </xf>
    <xf numFmtId="165" fontId="0" fillId="3" borderId="83" xfId="1" applyFont="1" applyFill="1" applyBorder="1" applyAlignment="1">
      <alignment horizontal="left" vertical="center" wrapText="1"/>
    </xf>
    <xf numFmtId="165" fontId="2" fillId="2" borderId="18" xfId="1" applyFont="1" applyFill="1" applyBorder="1" applyAlignment="1">
      <alignment vertical="center"/>
    </xf>
    <xf numFmtId="165" fontId="9" fillId="0" borderId="13" xfId="1" applyFont="1" applyBorder="1" applyAlignment="1">
      <alignment horizontal="center" vertical="center"/>
    </xf>
    <xf numFmtId="0" fontId="2" fillId="12" borderId="10" xfId="0" applyFont="1" applyFill="1" applyBorder="1" applyAlignment="1">
      <alignment horizontal="center" vertical="center" wrapText="1"/>
    </xf>
    <xf numFmtId="0" fontId="2" fillId="12" borderId="75" xfId="0" applyFont="1" applyFill="1" applyBorder="1" applyAlignment="1">
      <alignment horizontal="center" vertical="center" wrapText="1"/>
    </xf>
    <xf numFmtId="0" fontId="2" fillId="12" borderId="23" xfId="0" applyFont="1" applyFill="1" applyBorder="1" applyAlignment="1">
      <alignment horizontal="center" vertical="center" wrapText="1"/>
    </xf>
    <xf numFmtId="49" fontId="1" fillId="10" borderId="8" xfId="0" applyNumberFormat="1" applyFont="1" applyFill="1" applyBorder="1" applyAlignment="1">
      <alignment horizontal="right" vertical="center"/>
    </xf>
    <xf numFmtId="0" fontId="1" fillId="10" borderId="9" xfId="0" applyFont="1" applyFill="1" applyBorder="1" applyAlignment="1">
      <alignment horizontal="left" vertical="center" wrapText="1"/>
    </xf>
    <xf numFmtId="14" fontId="1" fillId="10" borderId="9" xfId="0" applyNumberFormat="1" applyFont="1" applyFill="1" applyBorder="1" applyAlignment="1">
      <alignment horizontal="center" vertical="center" wrapText="1"/>
    </xf>
    <xf numFmtId="0" fontId="1" fillId="10" borderId="9" xfId="0" applyFont="1" applyFill="1" applyBorder="1" applyAlignment="1">
      <alignment horizontal="center" vertical="center" wrapText="1"/>
    </xf>
    <xf numFmtId="165" fontId="1" fillId="10" borderId="9" xfId="1" applyFont="1" applyFill="1" applyBorder="1" applyAlignment="1">
      <alignment vertical="center"/>
    </xf>
    <xf numFmtId="165" fontId="1" fillId="10" borderId="11" xfId="1" applyFont="1" applyFill="1" applyBorder="1" applyAlignment="1">
      <alignment vertical="center"/>
    </xf>
    <xf numFmtId="165" fontId="1" fillId="10" borderId="82" xfId="1" applyFont="1" applyFill="1" applyBorder="1" applyAlignment="1">
      <alignment vertical="center"/>
    </xf>
    <xf numFmtId="165" fontId="1" fillId="10" borderId="8" xfId="1" applyFont="1" applyFill="1" applyBorder="1" applyAlignment="1">
      <alignment horizontal="center" vertical="center"/>
    </xf>
    <xf numFmtId="165" fontId="1" fillId="10" borderId="9" xfId="1" applyFont="1" applyFill="1" applyBorder="1" applyAlignment="1">
      <alignment horizontal="center" vertical="center"/>
    </xf>
    <xf numFmtId="165" fontId="1" fillId="10" borderId="11" xfId="1" applyFont="1" applyFill="1" applyBorder="1" applyAlignment="1">
      <alignment horizontal="center" vertical="center"/>
    </xf>
    <xf numFmtId="0" fontId="7" fillId="9" borderId="64" xfId="0" applyFont="1" applyFill="1" applyBorder="1" applyAlignment="1">
      <alignment vertical="center" wrapText="1"/>
    </xf>
    <xf numFmtId="0" fontId="7" fillId="9" borderId="65" xfId="0" applyFont="1" applyFill="1" applyBorder="1" applyAlignment="1">
      <alignment vertical="center"/>
    </xf>
    <xf numFmtId="0" fontId="7" fillId="9" borderId="84" xfId="0" applyFont="1" applyFill="1" applyBorder="1" applyAlignment="1">
      <alignment vertical="center"/>
    </xf>
    <xf numFmtId="0" fontId="2" fillId="2" borderId="36" xfId="0" applyFont="1" applyFill="1" applyBorder="1" applyAlignment="1">
      <alignment vertical="center" wrapText="1"/>
    </xf>
    <xf numFmtId="0" fontId="0" fillId="9" borderId="68" xfId="0" applyFill="1" applyBorder="1" applyAlignment="1">
      <alignment horizontal="left" vertical="center" wrapText="1"/>
    </xf>
    <xf numFmtId="0" fontId="0" fillId="9" borderId="69" xfId="0" applyFill="1" applyBorder="1"/>
    <xf numFmtId="0" fontId="23" fillId="0" borderId="1"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9" borderId="13" xfId="0" applyFont="1" applyFill="1" applyBorder="1" applyAlignment="1">
      <alignment horizontal="left" vertical="center" wrapText="1"/>
    </xf>
    <xf numFmtId="0" fontId="23" fillId="9" borderId="6"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9" borderId="12" xfId="0" applyFont="1" applyFill="1" applyBorder="1" applyAlignment="1">
      <alignment horizontal="left" vertical="center" wrapText="1"/>
    </xf>
    <xf numFmtId="0" fontId="23" fillId="9" borderId="35"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23" fillId="9" borderId="2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0" fillId="9" borderId="1" xfId="0"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9" borderId="11" xfId="0" applyFont="1" applyFill="1" applyBorder="1" applyAlignment="1">
      <alignment horizontal="left" vertical="center" wrapText="1"/>
    </xf>
    <xf numFmtId="0" fontId="23" fillId="9" borderId="9"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23" fillId="2" borderId="25"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38" fillId="13" borderId="50" xfId="0" applyFont="1" applyFill="1" applyBorder="1" applyAlignment="1">
      <alignment horizontal="center" vertical="center" wrapText="1"/>
    </xf>
    <xf numFmtId="0" fontId="38" fillId="14" borderId="7" xfId="0" applyFont="1" applyFill="1" applyBorder="1" applyAlignment="1">
      <alignment horizontal="center" vertical="center" wrapText="1"/>
    </xf>
    <xf numFmtId="0" fontId="0" fillId="9" borderId="88" xfId="0" applyFill="1" applyBorder="1" applyAlignment="1">
      <alignment horizontal="left" vertical="center" wrapText="1"/>
    </xf>
    <xf numFmtId="0" fontId="0" fillId="9" borderId="89" xfId="0" applyFill="1" applyBorder="1" applyAlignment="1">
      <alignment horizontal="left" vertical="center" wrapText="1"/>
    </xf>
    <xf numFmtId="0" fontId="23" fillId="0" borderId="89" xfId="0" applyFont="1" applyBorder="1" applyAlignment="1">
      <alignment horizontal="left" vertical="center" wrapText="1"/>
    </xf>
    <xf numFmtId="0" fontId="23" fillId="9" borderId="89" xfId="0" applyFont="1" applyFill="1" applyBorder="1" applyAlignment="1">
      <alignment horizontal="left" vertical="center" wrapText="1"/>
    </xf>
    <xf numFmtId="0" fontId="23" fillId="4" borderId="89" xfId="0" applyFont="1" applyFill="1" applyBorder="1" applyAlignment="1">
      <alignment vertical="center" wrapText="1"/>
    </xf>
    <xf numFmtId="0" fontId="0" fillId="9" borderId="90" xfId="0" applyFill="1" applyBorder="1" applyAlignment="1">
      <alignment horizontal="left" vertical="center" wrapText="1"/>
    </xf>
    <xf numFmtId="0" fontId="0" fillId="9" borderId="91" xfId="0" applyFill="1" applyBorder="1" applyAlignment="1">
      <alignment horizontal="left" vertical="center" wrapText="1"/>
    </xf>
    <xf numFmtId="0" fontId="0" fillId="9" borderId="92" xfId="0" applyFill="1" applyBorder="1" applyAlignment="1">
      <alignment horizontal="left" vertical="center" wrapText="1"/>
    </xf>
    <xf numFmtId="0" fontId="0" fillId="9" borderId="93" xfId="0" applyFill="1" applyBorder="1" applyAlignment="1">
      <alignment horizontal="left" vertical="center" wrapText="1"/>
    </xf>
    <xf numFmtId="0" fontId="0" fillId="9" borderId="94" xfId="0" applyFill="1" applyBorder="1" applyAlignment="1">
      <alignment horizontal="left" vertical="center" wrapText="1"/>
    </xf>
    <xf numFmtId="0" fontId="23" fillId="0" borderId="94" xfId="0" applyFont="1" applyBorder="1" applyAlignment="1">
      <alignment horizontal="left" vertical="center" wrapText="1"/>
    </xf>
    <xf numFmtId="0" fontId="23" fillId="9" borderId="94" xfId="0" applyFont="1" applyFill="1" applyBorder="1" applyAlignment="1">
      <alignment horizontal="left" vertical="center" wrapText="1"/>
    </xf>
    <xf numFmtId="0" fontId="0" fillId="9" borderId="95" xfId="0" applyFill="1" applyBorder="1" applyAlignment="1">
      <alignment horizontal="left" vertical="center" wrapText="1"/>
    </xf>
    <xf numFmtId="0" fontId="23" fillId="9" borderId="96" xfId="0" applyFont="1" applyFill="1" applyBorder="1" applyAlignment="1">
      <alignment horizontal="left" vertical="center" wrapText="1"/>
    </xf>
    <xf numFmtId="0" fontId="23" fillId="9" borderId="97" xfId="0" applyFont="1" applyFill="1" applyBorder="1" applyAlignment="1">
      <alignment horizontal="left" vertical="center" wrapText="1"/>
    </xf>
    <xf numFmtId="0" fontId="23" fillId="9" borderId="90" xfId="0" applyFont="1" applyFill="1" applyBorder="1" applyAlignment="1">
      <alignment horizontal="left" vertical="center" wrapText="1"/>
    </xf>
    <xf numFmtId="0" fontId="23" fillId="9" borderId="92" xfId="0" applyFont="1" applyFill="1" applyBorder="1" applyAlignment="1">
      <alignment horizontal="left" vertical="center" wrapText="1"/>
    </xf>
    <xf numFmtId="0" fontId="23" fillId="9" borderId="95" xfId="0" applyFont="1" applyFill="1" applyBorder="1" applyAlignment="1">
      <alignment horizontal="left" vertical="center" wrapText="1"/>
    </xf>
    <xf numFmtId="0" fontId="0" fillId="9" borderId="98" xfId="0" applyFill="1" applyBorder="1" applyAlignment="1">
      <alignment horizontal="left" vertical="center" wrapText="1"/>
    </xf>
    <xf numFmtId="0" fontId="0" fillId="9" borderId="4" xfId="0" applyFill="1" applyBorder="1" applyAlignment="1">
      <alignment horizontal="left" vertical="center" wrapText="1"/>
    </xf>
    <xf numFmtId="0" fontId="0" fillId="9" borderId="99" xfId="0" applyFill="1" applyBorder="1" applyAlignment="1">
      <alignment horizontal="left" vertical="center" wrapText="1"/>
    </xf>
    <xf numFmtId="0" fontId="23" fillId="9" borderId="4" xfId="0" applyFont="1" applyFill="1" applyBorder="1" applyAlignment="1">
      <alignment horizontal="left" vertical="center" wrapText="1"/>
    </xf>
    <xf numFmtId="0" fontId="23" fillId="9" borderId="63" xfId="0" applyFont="1" applyFill="1" applyBorder="1" applyAlignment="1">
      <alignment horizontal="left" vertical="center" wrapText="1"/>
    </xf>
    <xf numFmtId="0" fontId="0" fillId="9" borderId="96" xfId="0" applyFill="1" applyBorder="1" applyAlignment="1">
      <alignment horizontal="left" vertical="center" wrapText="1"/>
    </xf>
    <xf numFmtId="0" fontId="23" fillId="9" borderId="22" xfId="0" applyFont="1" applyFill="1" applyBorder="1" applyAlignment="1">
      <alignment horizontal="left" vertical="center" wrapText="1"/>
    </xf>
    <xf numFmtId="0" fontId="23" fillId="3" borderId="91" xfId="0" applyFont="1" applyFill="1" applyBorder="1" applyAlignment="1">
      <alignment horizontal="left" vertical="center" wrapText="1"/>
    </xf>
    <xf numFmtId="0" fontId="23" fillId="9" borderId="91" xfId="0" applyFont="1" applyFill="1" applyBorder="1" applyAlignment="1">
      <alignment horizontal="left" vertical="center" wrapText="1"/>
    </xf>
    <xf numFmtId="0" fontId="23" fillId="9" borderId="93" xfId="0" applyFont="1" applyFill="1" applyBorder="1" applyAlignment="1">
      <alignment horizontal="left" vertical="center" wrapText="1"/>
    </xf>
    <xf numFmtId="0" fontId="23" fillId="2" borderId="74" xfId="0" applyFont="1" applyFill="1" applyBorder="1" applyAlignment="1">
      <alignment horizontal="left" vertical="center" wrapText="1"/>
    </xf>
    <xf numFmtId="0" fontId="23" fillId="3" borderId="100"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9" borderId="101" xfId="0" applyFont="1" applyFill="1" applyBorder="1" applyAlignment="1">
      <alignment horizontal="left" vertical="center" wrapText="1"/>
    </xf>
    <xf numFmtId="0" fontId="0" fillId="9" borderId="6" xfId="0" applyFill="1" applyBorder="1" applyAlignment="1">
      <alignment horizontal="left" vertical="center" wrapText="1"/>
    </xf>
    <xf numFmtId="0" fontId="0" fillId="9" borderId="97" xfId="0" applyFill="1" applyBorder="1" applyAlignment="1">
      <alignment horizontal="left" vertical="center" wrapText="1"/>
    </xf>
    <xf numFmtId="0" fontId="0" fillId="4" borderId="0" xfId="0" applyFill="1" applyAlignment="1">
      <alignment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xf>
    <xf numFmtId="168" fontId="2" fillId="6" borderId="7" xfId="0" applyNumberFormat="1" applyFont="1" applyFill="1" applyBorder="1" applyAlignment="1">
      <alignment horizontal="center" vertical="center"/>
    </xf>
    <xf numFmtId="165" fontId="0" fillId="4" borderId="1" xfId="1" applyFont="1" applyFill="1" applyBorder="1" applyAlignment="1">
      <alignment horizontal="center" vertical="center"/>
    </xf>
    <xf numFmtId="165" fontId="0" fillId="4" borderId="12" xfId="1" applyFont="1" applyFill="1" applyBorder="1" applyAlignment="1">
      <alignment horizontal="center" vertical="center"/>
    </xf>
    <xf numFmtId="165" fontId="0" fillId="4" borderId="13" xfId="1" applyFont="1" applyFill="1" applyBorder="1" applyAlignment="1">
      <alignment horizontal="center" vertical="center"/>
    </xf>
    <xf numFmtId="165" fontId="0" fillId="30" borderId="36" xfId="1" applyFont="1" applyFill="1" applyBorder="1" applyAlignment="1">
      <alignment vertical="center"/>
    </xf>
    <xf numFmtId="165" fontId="0" fillId="30" borderId="38" xfId="1" applyFont="1" applyFill="1" applyBorder="1" applyAlignment="1">
      <alignment vertical="center"/>
    </xf>
    <xf numFmtId="165" fontId="0" fillId="30" borderId="37" xfId="1" applyFont="1" applyFill="1" applyBorder="1" applyAlignment="1">
      <alignment vertical="center"/>
    </xf>
    <xf numFmtId="165" fontId="0" fillId="3" borderId="4" xfId="1" applyFont="1" applyFill="1" applyBorder="1" applyAlignment="1">
      <alignment horizontal="center" vertical="center"/>
    </xf>
    <xf numFmtId="164" fontId="0" fillId="3" borderId="1" xfId="1" applyNumberFormat="1" applyFont="1" applyFill="1" applyBorder="1" applyAlignment="1">
      <alignment horizontal="center" vertical="center"/>
    </xf>
    <xf numFmtId="165" fontId="0" fillId="0" borderId="1" xfId="1" applyFont="1" applyFill="1" applyBorder="1" applyAlignment="1">
      <alignment horizontal="center" vertical="center"/>
    </xf>
    <xf numFmtId="0" fontId="0" fillId="4" borderId="1" xfId="0" applyFill="1" applyBorder="1"/>
    <xf numFmtId="165" fontId="0" fillId="0" borderId="8" xfId="1" applyFont="1" applyBorder="1" applyAlignment="1">
      <alignment horizontal="center" vertical="center"/>
    </xf>
    <xf numFmtId="165" fontId="0" fillId="0" borderId="9" xfId="1" applyFont="1" applyBorder="1" applyAlignment="1">
      <alignment horizontal="center" vertical="center"/>
    </xf>
    <xf numFmtId="165" fontId="0" fillId="0" borderId="11" xfId="1" applyFont="1" applyBorder="1" applyAlignment="1">
      <alignment horizontal="center" vertical="center"/>
    </xf>
    <xf numFmtId="165" fontId="0" fillId="0" borderId="12" xfId="1" applyFont="1" applyBorder="1" applyAlignment="1">
      <alignment horizontal="center" vertical="center"/>
    </xf>
    <xf numFmtId="165" fontId="0" fillId="0" borderId="13" xfId="1" applyFont="1" applyBorder="1" applyAlignment="1">
      <alignment horizontal="center" vertical="center"/>
    </xf>
    <xf numFmtId="165" fontId="0" fillId="0" borderId="12" xfId="1" applyFont="1" applyFill="1" applyBorder="1" applyAlignment="1">
      <alignment horizontal="center" vertical="center"/>
    </xf>
    <xf numFmtId="165" fontId="0" fillId="0" borderId="13" xfId="1" applyFont="1" applyFill="1" applyBorder="1" applyAlignment="1">
      <alignment horizontal="center" vertical="center"/>
    </xf>
    <xf numFmtId="0" fontId="0" fillId="4" borderId="12" xfId="0" applyFill="1" applyBorder="1"/>
    <xf numFmtId="165" fontId="0" fillId="0" borderId="15" xfId="1" applyFont="1" applyFill="1" applyBorder="1" applyAlignment="1">
      <alignment horizontal="center" vertical="center"/>
    </xf>
    <xf numFmtId="165" fontId="0" fillId="0" borderId="4" xfId="1" applyFont="1" applyBorder="1" applyAlignment="1">
      <alignment horizontal="center" vertical="center"/>
    </xf>
    <xf numFmtId="165" fontId="0" fillId="4" borderId="4" xfId="1" applyFont="1" applyFill="1" applyBorder="1" applyAlignment="1">
      <alignment horizontal="center" vertical="center"/>
    </xf>
    <xf numFmtId="165" fontId="0" fillId="0" borderId="16" xfId="1" applyFont="1" applyFill="1" applyBorder="1" applyAlignment="1">
      <alignment horizontal="center" vertical="center"/>
    </xf>
    <xf numFmtId="14" fontId="12" fillId="3" borderId="15" xfId="0" applyNumberFormat="1" applyFont="1" applyFill="1" applyBorder="1" applyAlignment="1">
      <alignment horizontal="center" vertical="center" wrapText="1"/>
    </xf>
    <xf numFmtId="14" fontId="12" fillId="3" borderId="16" xfId="0" applyNumberFormat="1" applyFont="1" applyFill="1" applyBorder="1" applyAlignment="1">
      <alignment horizontal="center" vertical="center"/>
    </xf>
    <xf numFmtId="0" fontId="0" fillId="4" borderId="15" xfId="0" applyFill="1" applyBorder="1" applyAlignment="1">
      <alignment horizontal="left" vertical="center" wrapText="1"/>
    </xf>
    <xf numFmtId="14" fontId="0" fillId="0" borderId="15" xfId="1" applyNumberFormat="1" applyFont="1" applyBorder="1" applyAlignment="1">
      <alignment vertical="center"/>
    </xf>
    <xf numFmtId="171" fontId="0" fillId="0" borderId="15" xfId="1" applyNumberFormat="1" applyFont="1" applyBorder="1" applyAlignment="1">
      <alignment vertical="center"/>
    </xf>
    <xf numFmtId="0" fontId="0" fillId="4" borderId="1" xfId="0" applyFill="1" applyBorder="1" applyAlignment="1">
      <alignment vertical="center" wrapText="1"/>
    </xf>
    <xf numFmtId="165" fontId="0" fillId="27" borderId="1" xfId="1" applyFont="1" applyFill="1" applyBorder="1" applyAlignment="1">
      <alignment horizontal="center" vertical="center"/>
    </xf>
    <xf numFmtId="165" fontId="0" fillId="27" borderId="12" xfId="1" applyFont="1" applyFill="1" applyBorder="1" applyAlignment="1">
      <alignment horizontal="center" vertical="center"/>
    </xf>
    <xf numFmtId="164" fontId="9" fillId="0" borderId="1" xfId="1" applyNumberFormat="1" applyFont="1" applyBorder="1" applyAlignment="1">
      <alignment vertical="center"/>
    </xf>
    <xf numFmtId="164" fontId="9" fillId="0" borderId="13" xfId="1" applyNumberFormat="1" applyFont="1" applyBorder="1" applyAlignment="1">
      <alignment vertical="center"/>
    </xf>
    <xf numFmtId="164" fontId="9" fillId="0" borderId="12" xfId="1" applyNumberFormat="1" applyFont="1" applyBorder="1" applyAlignment="1">
      <alignment vertical="center"/>
    </xf>
    <xf numFmtId="164" fontId="0" fillId="3" borderId="1" xfId="1" applyNumberFormat="1" applyFont="1" applyFill="1" applyBorder="1" applyAlignment="1">
      <alignment horizontal="left" vertical="center" wrapText="1"/>
    </xf>
    <xf numFmtId="164" fontId="2" fillId="2" borderId="12" xfId="1" applyNumberFormat="1" applyFont="1" applyFill="1" applyBorder="1" applyAlignment="1">
      <alignment vertical="center"/>
    </xf>
    <xf numFmtId="165" fontId="2" fillId="7" borderId="12" xfId="1" applyFont="1" applyFill="1" applyBorder="1" applyAlignment="1">
      <alignment vertical="center"/>
    </xf>
    <xf numFmtId="165" fontId="2" fillId="7" borderId="1" xfId="1" applyFont="1" applyFill="1" applyBorder="1" applyAlignment="1">
      <alignment vertical="center"/>
    </xf>
    <xf numFmtId="0" fontId="1" fillId="14" borderId="82" xfId="0" applyFont="1" applyFill="1" applyBorder="1" applyAlignment="1">
      <alignment horizontal="center" vertical="center"/>
    </xf>
    <xf numFmtId="0" fontId="0" fillId="3" borderId="6" xfId="0" applyFill="1" applyBorder="1" applyAlignment="1">
      <alignment horizontal="center" vertical="center"/>
    </xf>
    <xf numFmtId="0" fontId="0" fillId="3" borderId="83"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wrapText="1"/>
    </xf>
    <xf numFmtId="0" fontId="9" fillId="4" borderId="6" xfId="0" applyFont="1" applyFill="1" applyBorder="1" applyAlignment="1">
      <alignment horizontal="center" vertical="center" wrapText="1"/>
    </xf>
    <xf numFmtId="0" fontId="1" fillId="14" borderId="6" xfId="0" applyFont="1" applyFill="1" applyBorder="1" applyAlignment="1">
      <alignment horizontal="center" vertical="center"/>
    </xf>
    <xf numFmtId="0" fontId="0" fillId="3" borderId="83" xfId="0" applyFill="1" applyBorder="1" applyAlignment="1">
      <alignment horizontal="center" vertical="center" wrapText="1"/>
    </xf>
    <xf numFmtId="0" fontId="36" fillId="4" borderId="8" xfId="0" applyFont="1" applyFill="1" applyBorder="1" applyAlignment="1">
      <alignment horizontal="right" vertical="center"/>
    </xf>
    <xf numFmtId="0" fontId="36" fillId="4" borderId="9" xfId="0" applyFont="1" applyFill="1" applyBorder="1" applyAlignment="1">
      <alignment vertical="center" wrapText="1"/>
    </xf>
    <xf numFmtId="14" fontId="36" fillId="4" borderId="9" xfId="0" applyNumberFormat="1" applyFont="1" applyFill="1" applyBorder="1" applyAlignment="1">
      <alignment horizontal="center" vertical="center"/>
    </xf>
    <xf numFmtId="14" fontId="36" fillId="4" borderId="11" xfId="0" applyNumberFormat="1" applyFont="1" applyFill="1" applyBorder="1" applyAlignment="1">
      <alignment horizontal="center" vertical="center"/>
    </xf>
    <xf numFmtId="0" fontId="36" fillId="4" borderId="12" xfId="0" applyFont="1" applyFill="1" applyBorder="1" applyAlignment="1">
      <alignment horizontal="right" vertical="center"/>
    </xf>
    <xf numFmtId="0" fontId="36" fillId="4" borderId="1" xfId="0" applyFont="1" applyFill="1" applyBorder="1" applyAlignment="1">
      <alignment vertical="center"/>
    </xf>
    <xf numFmtId="14" fontId="36" fillId="4" borderId="1" xfId="0" applyNumberFormat="1" applyFont="1" applyFill="1" applyBorder="1" applyAlignment="1">
      <alignment horizontal="center" vertical="center"/>
    </xf>
    <xf numFmtId="14" fontId="36" fillId="4" borderId="13" xfId="0" applyNumberFormat="1" applyFont="1" applyFill="1" applyBorder="1" applyAlignment="1">
      <alignment horizontal="center" vertical="center"/>
    </xf>
    <xf numFmtId="0" fontId="36" fillId="4" borderId="1" xfId="0" applyFont="1" applyFill="1" applyBorder="1" applyAlignment="1">
      <alignment vertical="center" wrapText="1"/>
    </xf>
    <xf numFmtId="14" fontId="12" fillId="4" borderId="1" xfId="0" applyNumberFormat="1" applyFont="1" applyFill="1" applyBorder="1" applyAlignment="1">
      <alignment horizontal="center" vertical="center"/>
    </xf>
    <xf numFmtId="14" fontId="12" fillId="4" borderId="13" xfId="0" applyNumberFormat="1" applyFont="1" applyFill="1" applyBorder="1" applyAlignment="1">
      <alignment horizontal="center" vertical="center"/>
    </xf>
    <xf numFmtId="14" fontId="12" fillId="4" borderId="13" xfId="0" applyNumberFormat="1" applyFont="1" applyFill="1" applyBorder="1" applyAlignment="1">
      <alignment horizontal="center" vertical="center" wrapText="1"/>
    </xf>
    <xf numFmtId="0" fontId="41" fillId="4" borderId="12" xfId="0" applyFont="1" applyFill="1" applyBorder="1" applyAlignment="1">
      <alignment horizontal="right" vertical="center"/>
    </xf>
    <xf numFmtId="0" fontId="42" fillId="4" borderId="1" xfId="0" applyFont="1" applyFill="1" applyBorder="1" applyAlignment="1">
      <alignment vertical="center"/>
    </xf>
    <xf numFmtId="14" fontId="42" fillId="4" borderId="1" xfId="0" applyNumberFormat="1" applyFont="1" applyFill="1" applyBorder="1" applyAlignment="1">
      <alignment horizontal="center" vertical="center"/>
    </xf>
    <xf numFmtId="14" fontId="42" fillId="4" borderId="13" xfId="0" applyNumberFormat="1" applyFont="1" applyFill="1" applyBorder="1" applyAlignment="1">
      <alignment horizontal="center" vertical="center"/>
    </xf>
    <xf numFmtId="14" fontId="12" fillId="4" borderId="2" xfId="0" applyNumberFormat="1" applyFont="1" applyFill="1" applyBorder="1" applyAlignment="1">
      <alignment horizontal="center" vertical="center"/>
    </xf>
    <xf numFmtId="14" fontId="12" fillId="4" borderId="21" xfId="0" applyNumberFormat="1" applyFont="1" applyFill="1" applyBorder="1" applyAlignment="1">
      <alignment horizontal="center" vertical="center"/>
    </xf>
    <xf numFmtId="0" fontId="42" fillId="4" borderId="4" xfId="0" applyFont="1" applyFill="1" applyBorder="1" applyAlignment="1">
      <alignment vertical="center"/>
    </xf>
    <xf numFmtId="14" fontId="42" fillId="4" borderId="1" xfId="0" applyNumberFormat="1" applyFont="1" applyFill="1" applyBorder="1" applyAlignment="1">
      <alignment horizontal="center" vertical="center" wrapText="1"/>
    </xf>
    <xf numFmtId="14" fontId="42" fillId="4" borderId="3" xfId="0" applyNumberFormat="1" applyFont="1" applyFill="1" applyBorder="1" applyAlignment="1">
      <alignment horizontal="center" vertical="center"/>
    </xf>
    <xf numFmtId="14" fontId="42" fillId="4" borderId="31" xfId="0" applyNumberFormat="1" applyFont="1" applyFill="1" applyBorder="1" applyAlignment="1">
      <alignment horizontal="center" vertical="center"/>
    </xf>
    <xf numFmtId="14" fontId="12" fillId="4" borderId="3" xfId="0" applyNumberFormat="1" applyFont="1" applyFill="1" applyBorder="1" applyAlignment="1">
      <alignment horizontal="center" vertical="center"/>
    </xf>
    <xf numFmtId="14" fontId="12" fillId="4" borderId="31" xfId="0" applyNumberFormat="1" applyFont="1" applyFill="1" applyBorder="1" applyAlignment="1">
      <alignment horizontal="center" vertical="center"/>
    </xf>
    <xf numFmtId="0" fontId="42" fillId="4" borderId="1" xfId="0" applyFont="1" applyFill="1" applyBorder="1" applyAlignment="1">
      <alignment horizontal="left" vertical="center" wrapText="1"/>
    </xf>
    <xf numFmtId="0" fontId="42" fillId="4" borderId="1" xfId="0" applyFont="1" applyFill="1" applyBorder="1" applyAlignment="1">
      <alignment vertical="center" wrapText="1"/>
    </xf>
    <xf numFmtId="0" fontId="43" fillId="16" borderId="1" xfId="0" applyFont="1" applyFill="1" applyBorder="1" applyAlignment="1">
      <alignment vertical="center" wrapText="1"/>
    </xf>
    <xf numFmtId="0" fontId="36" fillId="4" borderId="14" xfId="0" applyFont="1" applyFill="1" applyBorder="1" applyAlignment="1">
      <alignment horizontal="right" vertical="center"/>
    </xf>
    <xf numFmtId="0" fontId="36" fillId="4" borderId="15" xfId="0" applyFont="1" applyFill="1" applyBorder="1" applyAlignment="1">
      <alignment vertical="center" wrapText="1"/>
    </xf>
    <xf numFmtId="14" fontId="36" fillId="4" borderId="15" xfId="0" applyNumberFormat="1" applyFont="1" applyFill="1" applyBorder="1" applyAlignment="1">
      <alignment horizontal="center" vertical="center"/>
    </xf>
    <xf numFmtId="14" fontId="36" fillId="4" borderId="16" xfId="0" applyNumberFormat="1" applyFont="1" applyFill="1" applyBorder="1" applyAlignment="1">
      <alignment horizontal="center" vertical="center"/>
    </xf>
    <xf numFmtId="0" fontId="43" fillId="16" borderId="1" xfId="0" applyFont="1" applyFill="1" applyBorder="1" applyAlignment="1">
      <alignment horizontal="left" vertical="center" wrapText="1"/>
    </xf>
    <xf numFmtId="14" fontId="42" fillId="4" borderId="13" xfId="0" applyNumberFormat="1" applyFont="1" applyFill="1" applyBorder="1" applyAlignment="1">
      <alignment horizontal="center" vertical="center" wrapText="1"/>
    </xf>
    <xf numFmtId="0" fontId="36" fillId="4" borderId="35" xfId="0" applyFont="1" applyFill="1" applyBorder="1" applyAlignment="1">
      <alignment horizontal="right" vertical="center"/>
    </xf>
    <xf numFmtId="0" fontId="12" fillId="4" borderId="2" xfId="0" applyFont="1" applyFill="1" applyBorder="1" applyAlignment="1">
      <alignment horizontal="left" vertical="center" wrapText="1"/>
    </xf>
    <xf numFmtId="14" fontId="12" fillId="4" borderId="2" xfId="0" applyNumberFormat="1" applyFont="1" applyFill="1" applyBorder="1" applyAlignment="1">
      <alignment horizontal="center" vertical="center" wrapText="1"/>
    </xf>
    <xf numFmtId="14" fontId="12" fillId="4" borderId="21" xfId="0" applyNumberFormat="1" applyFont="1" applyFill="1" applyBorder="1" applyAlignment="1">
      <alignment horizontal="center" vertical="center" wrapText="1"/>
    </xf>
    <xf numFmtId="165" fontId="1" fillId="4" borderId="9" xfId="1" applyFont="1" applyFill="1" applyBorder="1" applyAlignment="1">
      <alignment vertical="center"/>
    </xf>
    <xf numFmtId="165" fontId="1" fillId="4" borderId="11" xfId="1" applyFont="1" applyFill="1" applyBorder="1" applyAlignment="1">
      <alignment vertical="center"/>
    </xf>
    <xf numFmtId="165" fontId="2" fillId="4" borderId="12" xfId="1" applyFont="1" applyFill="1" applyBorder="1" applyAlignment="1">
      <alignment vertical="center"/>
    </xf>
    <xf numFmtId="165" fontId="2" fillId="4" borderId="1" xfId="1" applyFont="1" applyFill="1" applyBorder="1" applyAlignment="1">
      <alignment vertical="center"/>
    </xf>
    <xf numFmtId="165" fontId="2" fillId="4" borderId="13" xfId="1" applyFont="1" applyFill="1" applyBorder="1" applyAlignment="1">
      <alignment vertical="center"/>
    </xf>
    <xf numFmtId="165" fontId="0" fillId="4" borderId="12" xfId="1" applyFont="1" applyFill="1" applyBorder="1" applyAlignment="1">
      <alignment vertical="center"/>
    </xf>
    <xf numFmtId="165" fontId="0" fillId="4" borderId="1" xfId="1" applyFont="1" applyFill="1" applyBorder="1" applyAlignment="1">
      <alignment vertical="center"/>
    </xf>
    <xf numFmtId="165" fontId="0" fillId="4" borderId="13" xfId="1" applyFont="1" applyFill="1" applyBorder="1" applyAlignment="1">
      <alignment vertical="center"/>
    </xf>
    <xf numFmtId="165" fontId="9" fillId="4" borderId="12" xfId="1" applyFont="1" applyFill="1" applyBorder="1" applyAlignment="1">
      <alignment vertical="center"/>
    </xf>
    <xf numFmtId="165" fontId="9" fillId="4" borderId="1" xfId="1" applyFont="1" applyFill="1" applyBorder="1" applyAlignment="1">
      <alignment vertical="center"/>
    </xf>
    <xf numFmtId="165" fontId="9" fillId="4" borderId="13" xfId="1" applyFont="1" applyFill="1" applyBorder="1" applyAlignment="1">
      <alignment vertical="center"/>
    </xf>
    <xf numFmtId="165" fontId="2" fillId="4" borderId="14" xfId="1" applyFont="1" applyFill="1" applyBorder="1" applyAlignment="1">
      <alignment vertical="center"/>
    </xf>
    <xf numFmtId="165" fontId="2" fillId="4" borderId="15" xfId="1" applyFont="1" applyFill="1" applyBorder="1" applyAlignment="1">
      <alignment vertical="center"/>
    </xf>
    <xf numFmtId="165" fontId="2" fillId="4" borderId="16" xfId="1" applyFont="1" applyFill="1" applyBorder="1" applyAlignment="1">
      <alignment vertical="center"/>
    </xf>
    <xf numFmtId="165" fontId="0" fillId="4" borderId="12" xfId="1" applyFont="1" applyFill="1" applyBorder="1" applyAlignment="1">
      <alignment horizontal="left" vertical="center" wrapText="1"/>
    </xf>
    <xf numFmtId="165" fontId="0" fillId="4" borderId="1" xfId="1" applyFont="1" applyFill="1" applyBorder="1" applyAlignment="1">
      <alignment horizontal="left" vertical="center" wrapText="1"/>
    </xf>
    <xf numFmtId="165" fontId="0" fillId="4" borderId="13" xfId="1" applyFont="1" applyFill="1" applyBorder="1" applyAlignment="1">
      <alignment horizontal="left" vertical="center" wrapText="1"/>
    </xf>
    <xf numFmtId="165" fontId="1" fillId="4" borderId="12" xfId="1" applyFont="1" applyFill="1" applyBorder="1" applyAlignment="1">
      <alignment vertical="center"/>
    </xf>
    <xf numFmtId="165" fontId="1" fillId="4" borderId="1" xfId="1" applyFont="1" applyFill="1" applyBorder="1" applyAlignment="1">
      <alignment vertical="center"/>
    </xf>
    <xf numFmtId="165" fontId="1" fillId="4" borderId="13" xfId="1" applyFont="1" applyFill="1" applyBorder="1" applyAlignment="1">
      <alignment vertical="center"/>
    </xf>
    <xf numFmtId="165" fontId="2" fillId="7" borderId="13" xfId="1" applyFont="1" applyFill="1" applyBorder="1" applyAlignment="1">
      <alignment vertical="center"/>
    </xf>
    <xf numFmtId="165" fontId="1" fillId="34" borderId="8" xfId="1" applyFont="1" applyFill="1" applyBorder="1" applyAlignment="1">
      <alignment vertical="center"/>
    </xf>
    <xf numFmtId="165" fontId="1" fillId="34" borderId="9" xfId="1" applyFont="1" applyFill="1" applyBorder="1" applyAlignment="1">
      <alignment vertical="center"/>
    </xf>
    <xf numFmtId="165" fontId="1" fillId="34" borderId="11" xfId="1" applyFont="1" applyFill="1" applyBorder="1" applyAlignment="1">
      <alignment vertical="center"/>
    </xf>
    <xf numFmtId="165" fontId="2" fillId="7" borderId="14" xfId="1" applyFont="1" applyFill="1" applyBorder="1" applyAlignment="1">
      <alignment vertical="center"/>
    </xf>
    <xf numFmtId="165" fontId="2" fillId="7" borderId="15" xfId="1" applyFont="1" applyFill="1" applyBorder="1" applyAlignment="1">
      <alignment vertical="center"/>
    </xf>
    <xf numFmtId="165" fontId="2" fillId="7" borderId="16" xfId="1" applyFont="1" applyFill="1" applyBorder="1" applyAlignment="1">
      <alignment vertical="center"/>
    </xf>
    <xf numFmtId="165" fontId="1" fillId="7" borderId="8" xfId="1" applyFont="1" applyFill="1" applyBorder="1" applyAlignment="1">
      <alignment vertical="center"/>
    </xf>
    <xf numFmtId="165" fontId="1" fillId="7" borderId="9" xfId="1" applyFont="1" applyFill="1" applyBorder="1" applyAlignment="1">
      <alignment vertical="center"/>
    </xf>
    <xf numFmtId="165" fontId="1" fillId="7" borderId="11" xfId="1" applyFont="1" applyFill="1" applyBorder="1" applyAlignment="1">
      <alignment vertical="center"/>
    </xf>
    <xf numFmtId="165" fontId="2" fillId="4" borderId="12" xfId="1" quotePrefix="1" applyFont="1" applyFill="1" applyBorder="1" applyAlignment="1">
      <alignment vertical="center"/>
    </xf>
    <xf numFmtId="165" fontId="0" fillId="7" borderId="12" xfId="1" applyFont="1" applyFill="1" applyBorder="1" applyAlignment="1">
      <alignment horizontal="left" vertical="center" wrapText="1"/>
    </xf>
    <xf numFmtId="165" fontId="0" fillId="7" borderId="1" xfId="1" applyFont="1" applyFill="1" applyBorder="1" applyAlignment="1">
      <alignment horizontal="left" vertical="center" wrapText="1"/>
    </xf>
    <xf numFmtId="165" fontId="0" fillId="7" borderId="13" xfId="1" applyFont="1" applyFill="1" applyBorder="1" applyAlignment="1">
      <alignment horizontal="left" vertical="center" wrapText="1"/>
    </xf>
    <xf numFmtId="165" fontId="0" fillId="7" borderId="35" xfId="1" applyFont="1" applyFill="1" applyBorder="1" applyAlignment="1">
      <alignment horizontal="left" vertical="center" wrapText="1"/>
    </xf>
    <xf numFmtId="165" fontId="0" fillId="7" borderId="2" xfId="1" applyFont="1" applyFill="1" applyBorder="1" applyAlignment="1">
      <alignment horizontal="left" vertical="center" wrapText="1"/>
    </xf>
    <xf numFmtId="165" fontId="0" fillId="7" borderId="21" xfId="1" applyFont="1" applyFill="1" applyBorder="1" applyAlignment="1">
      <alignment horizontal="left" vertical="center" wrapText="1"/>
    </xf>
    <xf numFmtId="165" fontId="1" fillId="13" borderId="40" xfId="1" applyFont="1" applyFill="1" applyBorder="1" applyAlignment="1">
      <alignment horizontal="center" vertical="center"/>
    </xf>
    <xf numFmtId="165" fontId="1" fillId="14" borderId="29" xfId="1" applyFont="1" applyFill="1" applyBorder="1" applyAlignment="1">
      <alignment horizontal="center" vertical="center"/>
    </xf>
    <xf numFmtId="0" fontId="1" fillId="15" borderId="29" xfId="0" applyFont="1" applyFill="1" applyBorder="1" applyAlignment="1">
      <alignment horizontal="center" vertical="center"/>
    </xf>
    <xf numFmtId="165" fontId="2" fillId="2" borderId="29" xfId="1" applyFont="1" applyFill="1" applyBorder="1" applyAlignment="1">
      <alignment horizontal="center" vertical="center"/>
    </xf>
    <xf numFmtId="165" fontId="0" fillId="3" borderId="29" xfId="1" applyFont="1" applyFill="1" applyBorder="1" applyAlignment="1">
      <alignment horizontal="center" vertical="center"/>
    </xf>
    <xf numFmtId="165" fontId="9" fillId="0" borderId="29" xfId="1" applyFont="1" applyBorder="1" applyAlignment="1">
      <alignment horizontal="center" vertical="center"/>
    </xf>
    <xf numFmtId="165" fontId="0" fillId="3" borderId="29" xfId="1" applyFont="1" applyFill="1" applyBorder="1" applyAlignment="1">
      <alignment horizontal="center" vertical="center" wrapText="1"/>
    </xf>
    <xf numFmtId="165" fontId="9" fillId="4" borderId="29" xfId="1" applyFont="1" applyFill="1" applyBorder="1" applyAlignment="1">
      <alignment horizontal="center" vertical="center" wrapText="1"/>
    </xf>
    <xf numFmtId="165" fontId="9" fillId="4" borderId="40" xfId="1" applyFont="1" applyFill="1" applyBorder="1" applyAlignment="1">
      <alignment horizontal="center" vertical="center" wrapText="1"/>
    </xf>
    <xf numFmtId="165" fontId="2" fillId="2" borderId="55" xfId="1" applyFont="1" applyFill="1" applyBorder="1" applyAlignment="1">
      <alignment horizontal="center" vertical="center"/>
    </xf>
    <xf numFmtId="165" fontId="1" fillId="13" borderId="28" xfId="1" applyFont="1" applyFill="1" applyBorder="1" applyAlignment="1">
      <alignment horizontal="center" vertical="center"/>
    </xf>
    <xf numFmtId="165" fontId="0" fillId="3" borderId="55" xfId="1" applyFont="1" applyFill="1" applyBorder="1" applyAlignment="1">
      <alignment horizontal="center" vertical="center" wrapText="1"/>
    </xf>
    <xf numFmtId="165" fontId="2" fillId="2" borderId="30" xfId="1" applyFont="1" applyFill="1" applyBorder="1" applyAlignment="1">
      <alignment horizontal="center" vertical="center"/>
    </xf>
    <xf numFmtId="169" fontId="0" fillId="0" borderId="0" xfId="0" applyNumberFormat="1" applyAlignment="1">
      <alignment horizontal="center" vertical="center"/>
    </xf>
    <xf numFmtId="165" fontId="0" fillId="27" borderId="19" xfId="1" applyFont="1" applyFill="1" applyBorder="1" applyAlignment="1">
      <alignment horizontal="center" vertical="center"/>
    </xf>
    <xf numFmtId="165" fontId="0" fillId="27" borderId="6" xfId="1" applyFont="1" applyFill="1" applyBorder="1" applyAlignment="1">
      <alignment horizontal="center" vertical="center"/>
    </xf>
    <xf numFmtId="165" fontId="0" fillId="27" borderId="4" xfId="1" applyFont="1" applyFill="1" applyBorder="1" applyAlignment="1">
      <alignment horizontal="center" vertical="center"/>
    </xf>
    <xf numFmtId="165" fontId="0" fillId="4" borderId="19" xfId="1" applyFont="1" applyFill="1" applyBorder="1" applyAlignment="1">
      <alignment horizontal="center" vertical="center"/>
    </xf>
    <xf numFmtId="165" fontId="0" fillId="4" borderId="6" xfId="1" applyFont="1" applyFill="1" applyBorder="1" applyAlignment="1">
      <alignment horizontal="center" vertical="center"/>
    </xf>
    <xf numFmtId="165" fontId="0" fillId="0" borderId="82" xfId="1" applyFont="1" applyBorder="1" applyAlignment="1">
      <alignment horizontal="center" vertical="center"/>
    </xf>
    <xf numFmtId="165" fontId="0" fillId="0" borderId="6" xfId="1" applyFont="1" applyBorder="1" applyAlignment="1">
      <alignment horizontal="center" vertical="center"/>
    </xf>
    <xf numFmtId="165" fontId="0" fillId="3" borderId="6" xfId="1" applyFont="1" applyFill="1" applyBorder="1" applyAlignment="1">
      <alignment horizontal="center" vertical="center"/>
    </xf>
    <xf numFmtId="165" fontId="0" fillId="0" borderId="6" xfId="1" applyFont="1" applyFill="1" applyBorder="1" applyAlignment="1">
      <alignment horizontal="center" vertical="center"/>
    </xf>
    <xf numFmtId="165" fontId="0" fillId="3" borderId="18" xfId="1" applyFont="1" applyFill="1" applyBorder="1" applyAlignment="1">
      <alignment horizontal="center" vertical="center"/>
    </xf>
    <xf numFmtId="165" fontId="0" fillId="27" borderId="13" xfId="1" applyFont="1" applyFill="1" applyBorder="1" applyAlignment="1">
      <alignment horizontal="center" vertical="center"/>
    </xf>
    <xf numFmtId="165" fontId="0" fillId="27" borderId="14" xfId="1" applyFont="1" applyFill="1" applyBorder="1" applyAlignment="1">
      <alignment horizontal="center" vertical="center"/>
    </xf>
    <xf numFmtId="165" fontId="0" fillId="27" borderId="15" xfId="1" applyFont="1" applyFill="1" applyBorder="1" applyAlignment="1">
      <alignment horizontal="center" vertical="center"/>
    </xf>
    <xf numFmtId="165" fontId="0" fillId="27" borderId="16" xfId="1" applyFont="1" applyFill="1" applyBorder="1" applyAlignment="1">
      <alignment horizontal="center" vertical="center"/>
    </xf>
    <xf numFmtId="0" fontId="36" fillId="4" borderId="54" xfId="0" applyFont="1" applyFill="1" applyBorder="1" applyAlignment="1">
      <alignment horizontal="right" vertical="center" wrapText="1"/>
    </xf>
    <xf numFmtId="168" fontId="2" fillId="4" borderId="54" xfId="0" applyNumberFormat="1" applyFont="1" applyFill="1" applyBorder="1" applyAlignment="1">
      <alignment horizontal="center" vertical="center"/>
    </xf>
    <xf numFmtId="14" fontId="0" fillId="4" borderId="0" xfId="0" applyNumberFormat="1" applyFill="1"/>
    <xf numFmtId="165" fontId="40" fillId="4" borderId="0" xfId="4" applyNumberFormat="1" applyFill="1" applyAlignment="1">
      <alignment horizontal="center" vertical="center"/>
    </xf>
    <xf numFmtId="165" fontId="0" fillId="4" borderId="0" xfId="0" applyNumberFormat="1" applyFill="1" applyAlignment="1">
      <alignment horizontal="center" vertical="center"/>
    </xf>
    <xf numFmtId="165" fontId="40" fillId="33" borderId="0" xfId="4" applyNumberFormat="1" applyAlignment="1">
      <alignment horizontal="center" vertical="center"/>
    </xf>
    <xf numFmtId="13" fontId="0" fillId="4" borderId="1" xfId="1" applyNumberFormat="1" applyFont="1" applyFill="1" applyBorder="1" applyAlignment="1">
      <alignment horizontal="center" vertical="center"/>
    </xf>
    <xf numFmtId="173" fontId="40" fillId="33" borderId="0" xfId="4" applyNumberFormat="1"/>
    <xf numFmtId="165" fontId="12" fillId="4" borderId="1" xfId="1" applyFont="1" applyFill="1" applyBorder="1" applyAlignment="1">
      <alignment horizontal="center" vertical="center"/>
    </xf>
    <xf numFmtId="165" fontId="2" fillId="4" borderId="4" xfId="1" applyFont="1" applyFill="1" applyBorder="1" applyAlignment="1">
      <alignment vertical="center"/>
    </xf>
    <xf numFmtId="165" fontId="0" fillId="4" borderId="4" xfId="1" applyFont="1" applyFill="1" applyBorder="1" applyAlignment="1">
      <alignment vertical="center"/>
    </xf>
    <xf numFmtId="165" fontId="9" fillId="4" borderId="4" xfId="1" applyFont="1" applyFill="1" applyBorder="1" applyAlignment="1">
      <alignment vertical="center"/>
    </xf>
    <xf numFmtId="165" fontId="9" fillId="4" borderId="4" xfId="1" applyFont="1" applyFill="1" applyBorder="1" applyAlignment="1">
      <alignment horizontal="center" vertical="center"/>
    </xf>
    <xf numFmtId="164" fontId="2" fillId="4" borderId="15" xfId="1" applyNumberFormat="1" applyFont="1" applyFill="1" applyBorder="1" applyAlignment="1">
      <alignment vertical="center"/>
    </xf>
    <xf numFmtId="165" fontId="2" fillId="4" borderId="17" xfId="1" applyFont="1" applyFill="1" applyBorder="1" applyAlignment="1">
      <alignment vertical="center"/>
    </xf>
    <xf numFmtId="164" fontId="1" fillId="4" borderId="9" xfId="1" applyNumberFormat="1" applyFont="1" applyFill="1" applyBorder="1" applyAlignment="1">
      <alignment vertical="center"/>
    </xf>
    <xf numFmtId="165" fontId="1" fillId="4" borderId="22" xfId="1" applyFont="1" applyFill="1" applyBorder="1" applyAlignment="1">
      <alignment vertical="center"/>
    </xf>
    <xf numFmtId="165" fontId="0" fillId="4" borderId="4" xfId="1" applyFont="1" applyFill="1" applyBorder="1" applyAlignment="1">
      <alignment horizontal="left" vertical="center" wrapText="1"/>
    </xf>
    <xf numFmtId="164" fontId="2" fillId="4" borderId="1" xfId="1" applyNumberFormat="1" applyFont="1" applyFill="1" applyBorder="1" applyAlignment="1">
      <alignment vertical="center"/>
    </xf>
    <xf numFmtId="165" fontId="1" fillId="4" borderId="4" xfId="1" applyFont="1" applyFill="1" applyBorder="1" applyAlignment="1">
      <alignment vertical="center"/>
    </xf>
    <xf numFmtId="165" fontId="0" fillId="4" borderId="2" xfId="1" applyFont="1" applyFill="1" applyBorder="1" applyAlignment="1">
      <alignment horizontal="left" vertical="center" wrapText="1"/>
    </xf>
    <xf numFmtId="165" fontId="0" fillId="4" borderId="63" xfId="1" applyFont="1" applyFill="1" applyBorder="1" applyAlignment="1">
      <alignment horizontal="left" vertical="center" wrapText="1"/>
    </xf>
    <xf numFmtId="0" fontId="36" fillId="4" borderId="3" xfId="0" applyFont="1" applyFill="1" applyBorder="1" applyAlignment="1">
      <alignment vertical="center" wrapText="1"/>
    </xf>
    <xf numFmtId="14" fontId="36" fillId="4" borderId="3" xfId="0" applyNumberFormat="1" applyFont="1" applyFill="1" applyBorder="1" applyAlignment="1">
      <alignment horizontal="center" vertical="center"/>
    </xf>
    <xf numFmtId="14" fontId="36" fillId="4" borderId="31" xfId="0" applyNumberFormat="1" applyFont="1" applyFill="1" applyBorder="1" applyAlignment="1">
      <alignment horizontal="center" vertical="center"/>
    </xf>
    <xf numFmtId="165" fontId="1" fillId="4" borderId="57" xfId="1" applyFont="1" applyFill="1" applyBorder="1" applyAlignment="1">
      <alignment vertical="center"/>
    </xf>
    <xf numFmtId="165" fontId="1" fillId="4" borderId="3" xfId="1" applyFont="1" applyFill="1" applyBorder="1" applyAlignment="1">
      <alignment vertical="center"/>
    </xf>
    <xf numFmtId="165" fontId="1" fillId="4" borderId="31" xfId="1" applyFont="1" applyFill="1" applyBorder="1" applyAlignment="1">
      <alignment vertical="center"/>
    </xf>
    <xf numFmtId="0" fontId="36" fillId="4" borderId="2" xfId="0" applyFont="1" applyFill="1" applyBorder="1" applyAlignment="1">
      <alignment vertical="center" wrapText="1"/>
    </xf>
    <xf numFmtId="14" fontId="36" fillId="4" borderId="2" xfId="0" applyNumberFormat="1" applyFont="1" applyFill="1" applyBorder="1" applyAlignment="1">
      <alignment horizontal="center" vertical="center"/>
    </xf>
    <xf numFmtId="14" fontId="36" fillId="4" borderId="21" xfId="0" applyNumberFormat="1" applyFont="1" applyFill="1" applyBorder="1" applyAlignment="1">
      <alignment horizontal="center" vertical="center"/>
    </xf>
    <xf numFmtId="0" fontId="1" fillId="15" borderId="83" xfId="0" applyFont="1" applyFill="1" applyBorder="1" applyAlignment="1">
      <alignment horizontal="center" vertical="center"/>
    </xf>
    <xf numFmtId="0" fontId="1" fillId="15" borderId="2" xfId="0" applyFont="1" applyFill="1" applyBorder="1" applyAlignment="1">
      <alignment horizontal="center" vertical="center"/>
    </xf>
    <xf numFmtId="165" fontId="1" fillId="15" borderId="2" xfId="1" applyFont="1" applyFill="1" applyBorder="1" applyAlignment="1">
      <alignment vertical="center"/>
    </xf>
    <xf numFmtId="165" fontId="1" fillId="15" borderId="63" xfId="1" applyFont="1" applyFill="1" applyBorder="1" applyAlignment="1">
      <alignment vertical="center"/>
    </xf>
    <xf numFmtId="165" fontId="1" fillId="15" borderId="35" xfId="1" applyFont="1" applyFill="1" applyBorder="1" applyAlignment="1">
      <alignment vertical="center"/>
    </xf>
    <xf numFmtId="165" fontId="1" fillId="15" borderId="21" xfId="1" applyFont="1" applyFill="1" applyBorder="1" applyAlignment="1">
      <alignment vertical="center"/>
    </xf>
    <xf numFmtId="0" fontId="1" fillId="15" borderId="35" xfId="0" applyFont="1" applyFill="1" applyBorder="1" applyAlignment="1">
      <alignment vertical="center"/>
    </xf>
    <xf numFmtId="0" fontId="1" fillId="15" borderId="2" xfId="0" applyFont="1" applyFill="1" applyBorder="1" applyAlignment="1">
      <alignment vertical="center"/>
    </xf>
    <xf numFmtId="0" fontId="1" fillId="15" borderId="21" xfId="0" applyFont="1" applyFill="1" applyBorder="1" applyAlignment="1">
      <alignment vertical="center"/>
    </xf>
    <xf numFmtId="49" fontId="36" fillId="4" borderId="32" xfId="0" applyNumberFormat="1" applyFont="1" applyFill="1" applyBorder="1" applyAlignment="1">
      <alignment horizontal="right" vertical="center"/>
    </xf>
    <xf numFmtId="1" fontId="1" fillId="13" borderId="5" xfId="3" applyNumberFormat="1" applyFont="1" applyFill="1" applyBorder="1" applyAlignment="1">
      <alignment horizontal="center" vertical="center"/>
    </xf>
    <xf numFmtId="0" fontId="1" fillId="13" borderId="3" xfId="0" applyFont="1" applyFill="1" applyBorder="1" applyAlignment="1">
      <alignment horizontal="center" vertical="center"/>
    </xf>
    <xf numFmtId="165" fontId="1" fillId="4" borderId="32" xfId="1" applyFont="1" applyFill="1" applyBorder="1" applyAlignment="1">
      <alignment vertical="center"/>
    </xf>
    <xf numFmtId="14" fontId="0" fillId="0" borderId="4" xfId="0" applyNumberFormat="1" applyBorder="1" applyAlignment="1">
      <alignment horizontal="center" vertical="center"/>
    </xf>
    <xf numFmtId="165" fontId="0" fillId="0" borderId="0" xfId="1" applyFont="1"/>
    <xf numFmtId="165" fontId="45" fillId="36" borderId="102" xfId="6" applyNumberFormat="1"/>
    <xf numFmtId="173" fontId="45" fillId="36" borderId="102" xfId="6" applyNumberFormat="1"/>
    <xf numFmtId="0" fontId="46" fillId="35" borderId="102" xfId="5" applyFont="1" applyAlignment="1">
      <alignment horizontal="left" vertical="center"/>
    </xf>
    <xf numFmtId="0" fontId="46" fillId="35" borderId="102" xfId="5" applyFont="1" applyAlignment="1">
      <alignment horizontal="left" vertical="center" wrapText="1"/>
    </xf>
    <xf numFmtId="0" fontId="17" fillId="20" borderId="10" xfId="0" applyFont="1" applyFill="1" applyBorder="1" applyAlignment="1">
      <alignment horizontal="center" shrinkToFit="1"/>
    </xf>
    <xf numFmtId="0" fontId="17" fillId="20" borderId="75" xfId="0" applyFont="1" applyFill="1" applyBorder="1" applyAlignment="1">
      <alignment horizontal="center" shrinkToFit="1"/>
    </xf>
    <xf numFmtId="168" fontId="0" fillId="0" borderId="1" xfId="0" applyNumberFormat="1" applyBorder="1"/>
    <xf numFmtId="0" fontId="47" fillId="21" borderId="1" xfId="0" applyFont="1" applyFill="1" applyBorder="1" applyAlignment="1">
      <alignment horizontal="right" vertical="center" wrapText="1"/>
    </xf>
    <xf numFmtId="168" fontId="37" fillId="21" borderId="1" xfId="0" applyNumberFormat="1" applyFont="1" applyFill="1" applyBorder="1"/>
    <xf numFmtId="0" fontId="12" fillId="4" borderId="1" xfId="0" applyFont="1" applyFill="1" applyBorder="1" applyAlignment="1">
      <alignment vertical="center" wrapText="1"/>
    </xf>
    <xf numFmtId="0" fontId="0" fillId="0" borderId="1" xfId="0" applyBorder="1" applyAlignment="1">
      <alignment vertical="center"/>
    </xf>
    <xf numFmtId="0" fontId="2" fillId="0" borderId="53" xfId="0" applyFont="1" applyBorder="1" applyAlignment="1">
      <alignment horizontal="center" vertical="center"/>
    </xf>
    <xf numFmtId="0" fontId="0" fillId="0" borderId="1" xfId="0" applyBorder="1" applyAlignment="1">
      <alignment horizontal="center" vertical="center" wrapText="1"/>
    </xf>
    <xf numFmtId="0" fontId="0" fillId="4" borderId="54" xfId="0" applyFill="1" applyBorder="1" applyAlignment="1">
      <alignment horizontal="center"/>
    </xf>
    <xf numFmtId="0" fontId="0" fillId="4" borderId="68" xfId="0" applyFill="1" applyBorder="1" applyAlignment="1">
      <alignment horizontal="center"/>
    </xf>
    <xf numFmtId="0" fontId="0" fillId="4" borderId="0" xfId="0" applyFill="1" applyAlignment="1">
      <alignment horizontal="center"/>
    </xf>
    <xf numFmtId="165" fontId="0" fillId="27" borderId="47" xfId="1" applyFont="1" applyFill="1" applyBorder="1" applyAlignment="1">
      <alignment horizontal="center" vertical="center"/>
    </xf>
    <xf numFmtId="165" fontId="0" fillId="27" borderId="77" xfId="1" applyFont="1" applyFill="1" applyBorder="1" applyAlignment="1">
      <alignment horizontal="center" vertical="center"/>
    </xf>
    <xf numFmtId="165" fontId="0" fillId="27" borderId="73" xfId="1" applyFont="1" applyFill="1" applyBorder="1" applyAlignment="1">
      <alignment horizontal="center" vertical="center"/>
    </xf>
    <xf numFmtId="165" fontId="0" fillId="3" borderId="14" xfId="1" applyFont="1" applyFill="1" applyBorder="1" applyAlignment="1">
      <alignment horizontal="center" vertical="center"/>
    </xf>
    <xf numFmtId="0" fontId="12" fillId="4" borderId="1" xfId="0" quotePrefix="1" applyFont="1" applyFill="1" applyBorder="1" applyAlignment="1">
      <alignment horizontal="center" vertical="center" wrapText="1"/>
    </xf>
    <xf numFmtId="0" fontId="40" fillId="33" borderId="1" xfId="4" applyBorder="1" applyAlignment="1">
      <alignment horizontal="center" vertical="center" wrapText="1"/>
    </xf>
    <xf numFmtId="0" fontId="49" fillId="39" borderId="1" xfId="8" applyBorder="1" applyAlignment="1">
      <alignment horizontal="center" vertical="center" wrapText="1"/>
    </xf>
    <xf numFmtId="0" fontId="40" fillId="33" borderId="15" xfId="4" applyBorder="1" applyAlignment="1">
      <alignment horizontal="center" vertical="center"/>
    </xf>
    <xf numFmtId="0" fontId="49" fillId="39" borderId="15" xfId="8" applyBorder="1" applyAlignment="1">
      <alignment horizontal="center" vertical="center"/>
    </xf>
    <xf numFmtId="0" fontId="49" fillId="39" borderId="15" xfId="8" applyBorder="1" applyAlignment="1">
      <alignment horizontal="center" vertical="center" wrapText="1"/>
    </xf>
    <xf numFmtId="0" fontId="49" fillId="39" borderId="1" xfId="8" applyBorder="1" applyAlignment="1">
      <alignment horizontal="center" vertical="center"/>
    </xf>
    <xf numFmtId="0" fontId="40" fillId="4" borderId="15" xfId="4" applyFill="1" applyBorder="1" applyAlignment="1">
      <alignment horizontal="center" vertical="center"/>
    </xf>
    <xf numFmtId="0" fontId="40" fillId="4" borderId="1" xfId="4" applyFill="1" applyBorder="1" applyAlignment="1">
      <alignment horizontal="center" vertical="center" wrapText="1"/>
    </xf>
    <xf numFmtId="0" fontId="49" fillId="4" borderId="1" xfId="8" applyFill="1" applyBorder="1" applyAlignment="1">
      <alignment horizontal="center" vertical="center" wrapText="1"/>
    </xf>
    <xf numFmtId="0" fontId="49" fillId="4" borderId="15" xfId="8" applyFill="1" applyBorder="1" applyAlignment="1">
      <alignment horizontal="center" vertical="center"/>
    </xf>
    <xf numFmtId="0" fontId="49" fillId="4" borderId="15" xfId="8" applyFill="1" applyBorder="1" applyAlignment="1">
      <alignment horizontal="center" vertical="center" wrapText="1"/>
    </xf>
    <xf numFmtId="0" fontId="49" fillId="4" borderId="1" xfId="8" applyFill="1" applyBorder="1" applyAlignment="1">
      <alignment horizontal="center" vertical="center"/>
    </xf>
    <xf numFmtId="171" fontId="0" fillId="0" borderId="15" xfId="1" applyNumberFormat="1" applyFont="1" applyBorder="1" applyAlignment="1">
      <alignment horizontal="center" vertical="center"/>
    </xf>
    <xf numFmtId="0" fontId="40" fillId="4" borderId="15" xfId="4" applyFill="1" applyBorder="1" applyAlignment="1">
      <alignment horizontal="center" vertical="center" wrapText="1"/>
    </xf>
    <xf numFmtId="0" fontId="40" fillId="33" borderId="1" xfId="4" applyBorder="1" applyAlignment="1">
      <alignment horizontal="center" vertical="center"/>
    </xf>
    <xf numFmtId="1" fontId="2" fillId="12" borderId="36" xfId="1" applyNumberFormat="1" applyFont="1" applyFill="1" applyBorder="1" applyAlignment="1">
      <alignment horizontal="center" vertical="center"/>
    </xf>
    <xf numFmtId="1" fontId="2" fillId="12" borderId="38" xfId="1" applyNumberFormat="1" applyFont="1" applyFill="1" applyBorder="1" applyAlignment="1">
      <alignment horizontal="center" vertical="center"/>
    </xf>
    <xf numFmtId="1" fontId="2" fillId="12" borderId="37" xfId="1" applyNumberFormat="1" applyFont="1" applyFill="1" applyBorder="1" applyAlignment="1">
      <alignment horizontal="center" vertical="center"/>
    </xf>
    <xf numFmtId="165" fontId="2" fillId="30" borderId="38" xfId="1" applyFont="1" applyFill="1" applyBorder="1" applyAlignment="1">
      <alignment horizontal="center" vertical="center"/>
    </xf>
    <xf numFmtId="173" fontId="2" fillId="0" borderId="44" xfId="3" applyNumberFormat="1" applyFont="1" applyFill="1" applyBorder="1" applyAlignment="1">
      <alignment horizontal="center" vertical="center"/>
    </xf>
    <xf numFmtId="173" fontId="2" fillId="0" borderId="68" xfId="3" applyNumberFormat="1" applyFont="1" applyFill="1" applyBorder="1" applyAlignment="1">
      <alignment horizontal="center" vertical="center"/>
    </xf>
    <xf numFmtId="173" fontId="2" fillId="0" borderId="69" xfId="3" applyNumberFormat="1" applyFont="1" applyFill="1" applyBorder="1" applyAlignment="1">
      <alignment horizontal="center" vertical="center"/>
    </xf>
    <xf numFmtId="165" fontId="0" fillId="21" borderId="19" xfId="1" applyFont="1" applyFill="1" applyBorder="1" applyAlignment="1">
      <alignment horizontal="center" vertical="center"/>
    </xf>
    <xf numFmtId="165" fontId="0" fillId="21" borderId="71" xfId="1" applyFont="1" applyFill="1" applyBorder="1" applyAlignment="1">
      <alignment horizontal="center" vertical="center"/>
    </xf>
    <xf numFmtId="165" fontId="0" fillId="21" borderId="65" xfId="1" applyFont="1" applyFill="1" applyBorder="1" applyAlignment="1">
      <alignment horizontal="center" vertical="center"/>
    </xf>
    <xf numFmtId="165" fontId="0" fillId="2" borderId="19" xfId="1" applyFont="1" applyFill="1" applyBorder="1" applyAlignment="1">
      <alignment horizontal="center" vertical="center"/>
    </xf>
    <xf numFmtId="165" fontId="0" fillId="2" borderId="71" xfId="1" applyFont="1" applyFill="1" applyBorder="1" applyAlignment="1">
      <alignment horizontal="center" vertical="center"/>
    </xf>
    <xf numFmtId="165" fontId="0" fillId="2" borderId="65" xfId="1" applyFont="1" applyFill="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1" borderId="24" xfId="0" applyFont="1" applyFill="1" applyBorder="1" applyAlignment="1">
      <alignment horizontal="center" vertical="center" wrapText="1"/>
    </xf>
    <xf numFmtId="0" fontId="2" fillId="21" borderId="82" xfId="0" applyFont="1" applyFill="1" applyBorder="1" applyAlignment="1">
      <alignment horizontal="center" vertical="center" wrapText="1"/>
    </xf>
    <xf numFmtId="0" fontId="10" fillId="0" borderId="49" xfId="0" applyFont="1" applyBorder="1" applyAlignment="1">
      <alignment horizontal="center" vertical="center"/>
    </xf>
    <xf numFmtId="0" fontId="10" fillId="0" borderId="83" xfId="0" applyFont="1" applyBorder="1" applyAlignment="1">
      <alignment horizontal="center" vertical="center"/>
    </xf>
    <xf numFmtId="0" fontId="2" fillId="3" borderId="49" xfId="0" applyFont="1" applyFill="1" applyBorder="1" applyAlignment="1">
      <alignment horizontal="center" vertical="center"/>
    </xf>
    <xf numFmtId="0" fontId="2" fillId="3" borderId="83"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6" xfId="0" applyFont="1" applyFill="1" applyBorder="1" applyAlignment="1">
      <alignment horizontal="center" vertical="center"/>
    </xf>
    <xf numFmtId="165" fontId="0" fillId="21" borderId="24" xfId="1" applyFont="1" applyFill="1" applyBorder="1" applyAlignment="1">
      <alignment horizontal="center" vertical="center"/>
    </xf>
    <xf numFmtId="165" fontId="0" fillId="21" borderId="70" xfId="1" applyFont="1" applyFill="1" applyBorder="1" applyAlignment="1">
      <alignment horizontal="center" vertical="center"/>
    </xf>
    <xf numFmtId="165" fontId="0" fillId="21" borderId="64" xfId="1" applyFont="1" applyFill="1" applyBorder="1" applyAlignment="1">
      <alignment horizontal="center" vertical="center"/>
    </xf>
    <xf numFmtId="173" fontId="2" fillId="38" borderId="44" xfId="3" applyNumberFormat="1" applyFont="1" applyFill="1" applyBorder="1" applyAlignment="1">
      <alignment horizontal="center" vertical="center"/>
    </xf>
    <xf numFmtId="173" fontId="2" fillId="38" borderId="68" xfId="3" applyNumberFormat="1" applyFont="1" applyFill="1" applyBorder="1" applyAlignment="1">
      <alignment horizontal="center" vertical="center"/>
    </xf>
    <xf numFmtId="173" fontId="2" fillId="38" borderId="69" xfId="3" applyNumberFormat="1" applyFont="1" applyFill="1" applyBorder="1" applyAlignment="1">
      <alignment horizontal="center" vertical="center"/>
    </xf>
    <xf numFmtId="165" fontId="7" fillId="37" borderId="43" xfId="7" applyNumberFormat="1" applyBorder="1" applyAlignment="1">
      <alignment horizontal="center" vertical="center" wrapText="1"/>
    </xf>
    <xf numFmtId="165" fontId="7" fillId="37" borderId="0" xfId="7" applyNumberFormat="1" applyBorder="1" applyAlignment="1">
      <alignment horizontal="center" vertical="center" wrapText="1"/>
    </xf>
    <xf numFmtId="0" fontId="30" fillId="4" borderId="50"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30" fillId="4" borderId="53" xfId="0" applyFont="1" applyFill="1" applyBorder="1" applyAlignment="1">
      <alignment horizontal="center" vertical="center" wrapText="1"/>
    </xf>
    <xf numFmtId="0" fontId="39" fillId="14" borderId="25" xfId="0" applyFont="1" applyFill="1" applyBorder="1" applyAlignment="1">
      <alignment horizontal="center" vertical="center" wrapText="1"/>
    </xf>
    <xf numFmtId="0" fontId="39" fillId="14" borderId="26" xfId="0" applyFont="1" applyFill="1" applyBorder="1" applyAlignment="1">
      <alignment horizontal="center" vertical="center" wrapText="1"/>
    </xf>
    <xf numFmtId="0" fontId="39" fillId="14" borderId="27" xfId="0" applyFont="1" applyFill="1" applyBorder="1" applyAlignment="1">
      <alignment horizontal="center" vertical="center" wrapText="1"/>
    </xf>
    <xf numFmtId="0" fontId="39" fillId="14" borderId="83"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39" fillId="14" borderId="21" xfId="0" applyFont="1" applyFill="1" applyBorder="1" applyAlignment="1">
      <alignment horizontal="center" vertical="center" wrapText="1"/>
    </xf>
    <xf numFmtId="0" fontId="38" fillId="13" borderId="82" xfId="0" applyFont="1" applyFill="1" applyBorder="1" applyAlignment="1">
      <alignment horizontal="center" vertical="center" wrapText="1"/>
    </xf>
    <xf numFmtId="0" fontId="38" fillId="13" borderId="9"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38" fillId="13" borderId="33" xfId="0" applyFont="1" applyFill="1" applyBorder="1" applyAlignment="1">
      <alignment horizontal="center" vertical="center" wrapText="1"/>
    </xf>
    <xf numFmtId="0" fontId="38" fillId="13" borderId="10"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0" fillId="3" borderId="50" xfId="0" applyFont="1" applyFill="1" applyBorder="1" applyAlignment="1">
      <alignment horizontal="center" vertical="center" wrapText="1"/>
    </xf>
    <xf numFmtId="0" fontId="30" fillId="3" borderId="56"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48" fillId="0" borderId="42"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67" xfId="0" applyFont="1" applyBorder="1" applyAlignment="1">
      <alignment horizontal="center" vertical="center" wrapText="1"/>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66"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xf>
    <xf numFmtId="0" fontId="0" fillId="0" borderId="44"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48" fillId="0" borderId="44"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37" fillId="0" borderId="43" xfId="0" applyFont="1" applyBorder="1" applyAlignment="1">
      <alignment horizontal="center" vertical="center"/>
    </xf>
    <xf numFmtId="0" fontId="37" fillId="0" borderId="0" xfId="0" applyFont="1" applyAlignment="1">
      <alignment horizontal="center" vertical="center"/>
    </xf>
    <xf numFmtId="0" fontId="37" fillId="0" borderId="67" xfId="0" applyFont="1" applyBorder="1" applyAlignment="1">
      <alignment horizontal="center" vertical="center"/>
    </xf>
    <xf numFmtId="0" fontId="37" fillId="0" borderId="44"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 fillId="0" borderId="43" xfId="0" applyFont="1" applyBorder="1" applyAlignment="1">
      <alignment horizontal="center" vertical="center" wrapText="1"/>
    </xf>
    <xf numFmtId="0" fontId="3" fillId="0" borderId="0" xfId="0" applyFont="1" applyAlignment="1">
      <alignment horizontal="center" vertical="center" wrapText="1"/>
    </xf>
    <xf numFmtId="0" fontId="3" fillId="0" borderId="67" xfId="0" applyFont="1" applyBorder="1" applyAlignment="1">
      <alignment horizontal="center" vertical="center" wrapText="1"/>
    </xf>
    <xf numFmtId="0" fontId="2" fillId="7" borderId="54"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68" xfId="0" applyFont="1" applyFill="1" applyBorder="1" applyAlignment="1">
      <alignment horizontal="center" vertical="center" wrapText="1"/>
    </xf>
    <xf numFmtId="0" fontId="1" fillId="14" borderId="54"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4" borderId="68" xfId="0" applyFont="1" applyFill="1" applyBorder="1" applyAlignment="1">
      <alignment horizontal="center" vertical="center" wrapText="1"/>
    </xf>
    <xf numFmtId="0" fontId="1" fillId="13" borderId="42" xfId="0" applyFont="1" applyFill="1" applyBorder="1" applyAlignment="1">
      <alignment horizontal="center" vertical="center" wrapText="1"/>
    </xf>
    <xf numFmtId="0" fontId="1" fillId="13" borderId="43" xfId="0" applyFont="1" applyFill="1" applyBorder="1" applyAlignment="1">
      <alignment horizontal="center" vertical="center" wrapText="1"/>
    </xf>
    <xf numFmtId="0" fontId="1" fillId="13" borderId="44" xfId="0" applyFont="1" applyFill="1" applyBorder="1" applyAlignment="1">
      <alignment horizontal="center" vertical="center" wrapText="1"/>
    </xf>
    <xf numFmtId="0" fontId="0" fillId="3" borderId="32" xfId="0" applyFill="1" applyBorder="1" applyAlignment="1">
      <alignment horizontal="left" vertical="center" wrapText="1"/>
    </xf>
    <xf numFmtId="0" fontId="0" fillId="3" borderId="12" xfId="0" applyFill="1" applyBorder="1" applyAlignment="1">
      <alignment horizontal="left" vertical="center" wrapText="1"/>
    </xf>
    <xf numFmtId="0" fontId="0" fillId="3" borderId="14" xfId="0" applyFill="1" applyBorder="1" applyAlignment="1">
      <alignment horizontal="left" vertical="center" wrapText="1"/>
    </xf>
    <xf numFmtId="0" fontId="1" fillId="11" borderId="34" xfId="0" applyFont="1" applyFill="1" applyBorder="1" applyAlignment="1">
      <alignment horizontal="center" vertical="center" wrapText="1"/>
    </xf>
    <xf numFmtId="0" fontId="1" fillId="11" borderId="41" xfId="0" applyFont="1" applyFill="1" applyBorder="1" applyAlignment="1">
      <alignment horizontal="center" vertical="center" wrapText="1"/>
    </xf>
    <xf numFmtId="0" fontId="1" fillId="11" borderId="45" xfId="0" applyFont="1" applyFill="1" applyBorder="1" applyAlignment="1">
      <alignment horizontal="center"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0" fillId="3" borderId="8" xfId="0"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0" fillId="3" borderId="35" xfId="0" applyFill="1" applyBorder="1" applyAlignment="1">
      <alignment horizontal="left" vertical="center" wrapText="1"/>
    </xf>
    <xf numFmtId="0" fontId="2" fillId="2" borderId="20"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46" xfId="0" applyFill="1" applyBorder="1" applyAlignment="1">
      <alignment horizontal="left" vertical="center" wrapText="1"/>
    </xf>
    <xf numFmtId="0" fontId="0" fillId="3" borderId="47" xfId="0"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7" borderId="55"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11" borderId="52"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49"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7" borderId="2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0" fillId="6" borderId="25" xfId="0" applyFill="1" applyBorder="1" applyAlignment="1">
      <alignment horizontal="center" vertical="center" wrapText="1"/>
    </xf>
    <xf numFmtId="0" fontId="0" fillId="6" borderId="26" xfId="0" applyFill="1" applyBorder="1" applyAlignment="1">
      <alignment horizontal="center" vertical="center" wrapText="1"/>
    </xf>
    <xf numFmtId="0" fontId="1" fillId="13" borderId="50" xfId="0" applyFont="1" applyFill="1" applyBorder="1" applyAlignment="1">
      <alignment horizontal="center" vertical="center" wrapText="1"/>
    </xf>
    <xf numFmtId="0" fontId="1" fillId="13" borderId="56" xfId="0" applyFont="1" applyFill="1" applyBorder="1" applyAlignment="1">
      <alignment horizontal="center" vertical="center" wrapText="1"/>
    </xf>
    <xf numFmtId="0" fontId="1" fillId="13" borderId="53" xfId="0" applyFont="1" applyFill="1" applyBorder="1" applyAlignment="1">
      <alignment horizontal="center" vertical="center" wrapText="1"/>
    </xf>
    <xf numFmtId="0" fontId="1" fillId="14" borderId="33" xfId="0" applyFont="1" applyFill="1" applyBorder="1" applyAlignment="1">
      <alignment horizontal="center" vertical="center" wrapText="1"/>
    </xf>
    <xf numFmtId="0" fontId="1" fillId="14" borderId="46" xfId="0" applyFont="1" applyFill="1" applyBorder="1" applyAlignment="1">
      <alignment horizontal="center" vertical="center" wrapText="1"/>
    </xf>
    <xf numFmtId="0" fontId="1" fillId="14" borderId="47" xfId="0" applyFont="1" applyFill="1" applyBorder="1" applyAlignment="1">
      <alignment horizontal="center" vertical="center" wrapText="1"/>
    </xf>
    <xf numFmtId="0" fontId="1" fillId="14" borderId="28" xfId="0" applyFont="1" applyFill="1" applyBorder="1" applyAlignment="1">
      <alignment horizontal="center" vertical="center" wrapText="1"/>
    </xf>
    <xf numFmtId="0" fontId="1" fillId="14" borderId="29" xfId="0" applyFont="1" applyFill="1" applyBorder="1" applyAlignment="1">
      <alignment horizontal="center" vertical="center" wrapText="1"/>
    </xf>
    <xf numFmtId="0" fontId="1" fillId="14" borderId="30" xfId="0" applyFont="1" applyFill="1" applyBorder="1" applyAlignment="1">
      <alignment horizontal="center" vertical="center" wrapText="1"/>
    </xf>
    <xf numFmtId="0" fontId="2" fillId="7" borderId="4" xfId="0" applyFont="1" applyFill="1" applyBorder="1" applyAlignment="1">
      <alignment horizontal="left" vertical="center" wrapText="1"/>
    </xf>
    <xf numFmtId="0" fontId="2" fillId="7" borderId="63" xfId="0" applyFont="1" applyFill="1" applyBorder="1" applyAlignment="1">
      <alignment horizontal="left" vertical="center" wrapText="1"/>
    </xf>
    <xf numFmtId="169" fontId="2" fillId="21" borderId="36" xfId="0" applyNumberFormat="1" applyFont="1" applyFill="1" applyBorder="1" applyAlignment="1">
      <alignment horizontal="center" vertical="center"/>
    </xf>
    <xf numFmtId="169" fontId="2" fillId="21" borderId="38" xfId="0" applyNumberFormat="1" applyFont="1" applyFill="1" applyBorder="1" applyAlignment="1">
      <alignment horizontal="center" vertical="center"/>
    </xf>
    <xf numFmtId="169" fontId="2" fillId="21" borderId="37" xfId="0" applyNumberFormat="1" applyFont="1" applyFill="1" applyBorder="1" applyAlignment="1">
      <alignment horizontal="center" vertical="center"/>
    </xf>
    <xf numFmtId="169" fontId="2" fillId="21" borderId="20" xfId="0" applyNumberFormat="1" applyFont="1" applyFill="1" applyBorder="1" applyAlignment="1">
      <alignment horizontal="center" vertical="center"/>
    </xf>
    <xf numFmtId="0" fontId="2" fillId="21" borderId="85" xfId="0" applyFont="1" applyFill="1" applyBorder="1" applyAlignment="1">
      <alignment horizontal="center" vertical="center"/>
    </xf>
    <xf numFmtId="0" fontId="2" fillId="21" borderId="84" xfId="0" applyFont="1" applyFill="1" applyBorder="1" applyAlignment="1">
      <alignment horizontal="center" vertical="center"/>
    </xf>
    <xf numFmtId="169" fontId="2" fillId="21" borderId="8" xfId="0" applyNumberFormat="1" applyFont="1" applyFill="1" applyBorder="1" applyAlignment="1">
      <alignment horizontal="center" vertical="center"/>
    </xf>
    <xf numFmtId="169" fontId="2" fillId="21" borderId="9" xfId="0" applyNumberFormat="1" applyFont="1" applyFill="1" applyBorder="1" applyAlignment="1">
      <alignment horizontal="center" vertical="center"/>
    </xf>
    <xf numFmtId="169" fontId="2" fillId="21" borderId="11" xfId="0" applyNumberFormat="1" applyFont="1" applyFill="1" applyBorder="1" applyAlignment="1">
      <alignment horizontal="center" vertical="center"/>
    </xf>
    <xf numFmtId="169" fontId="2" fillId="21" borderId="12" xfId="0" applyNumberFormat="1" applyFont="1" applyFill="1" applyBorder="1" applyAlignment="1">
      <alignment horizontal="center" vertical="center"/>
    </xf>
    <xf numFmtId="169" fontId="2" fillId="21" borderId="1" xfId="0" applyNumberFormat="1" applyFont="1" applyFill="1" applyBorder="1" applyAlignment="1">
      <alignment horizontal="center" vertical="center"/>
    </xf>
    <xf numFmtId="169" fontId="2" fillId="21" borderId="13" xfId="0" applyNumberFormat="1" applyFont="1" applyFill="1" applyBorder="1" applyAlignment="1">
      <alignment horizontal="center" vertical="center"/>
    </xf>
    <xf numFmtId="169" fontId="2" fillId="21" borderId="14" xfId="0" applyNumberFormat="1" applyFont="1" applyFill="1" applyBorder="1" applyAlignment="1">
      <alignment horizontal="center" vertical="center"/>
    </xf>
    <xf numFmtId="169" fontId="2" fillId="21" borderId="15" xfId="0" applyNumberFormat="1" applyFont="1" applyFill="1" applyBorder="1" applyAlignment="1">
      <alignment horizontal="center" vertical="center"/>
    </xf>
    <xf numFmtId="169" fontId="2" fillId="21" borderId="16" xfId="0" applyNumberFormat="1" applyFont="1" applyFill="1" applyBorder="1" applyAlignment="1">
      <alignment horizontal="center" vertical="center"/>
    </xf>
    <xf numFmtId="0" fontId="2" fillId="12" borderId="33" xfId="0" applyFont="1" applyFill="1" applyBorder="1" applyAlignment="1">
      <alignment horizontal="center" vertical="center"/>
    </xf>
    <xf numFmtId="0" fontId="2" fillId="12" borderId="10" xfId="0" applyFont="1" applyFill="1" applyBorder="1" applyAlignment="1">
      <alignment horizontal="center" vertical="center"/>
    </xf>
    <xf numFmtId="0" fontId="2" fillId="12" borderId="25" xfId="0" applyFont="1" applyFill="1" applyBorder="1" applyAlignment="1">
      <alignment horizontal="center" vertical="center"/>
    </xf>
    <xf numFmtId="0" fontId="2" fillId="12" borderId="26" xfId="0" applyFont="1" applyFill="1" applyBorder="1" applyAlignment="1">
      <alignment horizontal="center" vertical="center"/>
    </xf>
    <xf numFmtId="0" fontId="2" fillId="12" borderId="27" xfId="0" applyFont="1" applyFill="1" applyBorder="1" applyAlignment="1">
      <alignment horizontal="center" vertical="center"/>
    </xf>
    <xf numFmtId="169" fontId="2" fillId="21" borderId="32" xfId="0" applyNumberFormat="1" applyFont="1" applyFill="1" applyBorder="1" applyAlignment="1">
      <alignment horizontal="center" vertical="center"/>
    </xf>
    <xf numFmtId="169" fontId="2" fillId="21" borderId="3" xfId="0" applyNumberFormat="1" applyFont="1" applyFill="1" applyBorder="1" applyAlignment="1">
      <alignment horizontal="center" vertical="center"/>
    </xf>
    <xf numFmtId="169" fontId="2" fillId="21" borderId="31" xfId="0" applyNumberFormat="1" applyFont="1" applyFill="1" applyBorder="1" applyAlignment="1">
      <alignment horizontal="center" vertical="center"/>
    </xf>
    <xf numFmtId="0" fontId="2" fillId="18" borderId="36" xfId="0" applyFont="1" applyFill="1" applyBorder="1" applyAlignment="1">
      <alignment horizontal="center" vertical="center"/>
    </xf>
    <xf numFmtId="0" fontId="2" fillId="18" borderId="37" xfId="0" applyFont="1" applyFill="1" applyBorder="1" applyAlignment="1">
      <alignment horizontal="center" vertical="center"/>
    </xf>
    <xf numFmtId="0" fontId="1" fillId="14" borderId="19" xfId="0" applyFont="1" applyFill="1" applyBorder="1" applyAlignment="1">
      <alignment horizontal="center" vertical="center"/>
    </xf>
    <xf numFmtId="0" fontId="1" fillId="14" borderId="71" xfId="0" applyFont="1" applyFill="1" applyBorder="1" applyAlignment="1">
      <alignment horizontal="center" vertical="center"/>
    </xf>
    <xf numFmtId="0" fontId="1" fillId="14" borderId="65" xfId="0" applyFont="1" applyFill="1" applyBorder="1" applyAlignment="1">
      <alignment horizontal="center" vertical="center"/>
    </xf>
    <xf numFmtId="0" fontId="0" fillId="4" borderId="42" xfId="0" applyFill="1" applyBorder="1" applyAlignment="1">
      <alignment horizontal="center"/>
    </xf>
    <xf numFmtId="0" fontId="0" fillId="4" borderId="54" xfId="0" applyFill="1" applyBorder="1" applyAlignment="1">
      <alignment horizontal="center"/>
    </xf>
    <xf numFmtId="0" fontId="0" fillId="4" borderId="66" xfId="0" applyFill="1" applyBorder="1" applyAlignment="1">
      <alignment horizontal="center"/>
    </xf>
    <xf numFmtId="0" fontId="0" fillId="4" borderId="43" xfId="0" applyFill="1" applyBorder="1" applyAlignment="1">
      <alignment horizontal="center"/>
    </xf>
    <xf numFmtId="0" fontId="0" fillId="4" borderId="0" xfId="0" applyFill="1" applyAlignment="1">
      <alignment horizontal="center"/>
    </xf>
    <xf numFmtId="0" fontId="0" fillId="4" borderId="67" xfId="0" applyFill="1" applyBorder="1" applyAlignment="1">
      <alignment horizontal="center"/>
    </xf>
    <xf numFmtId="0" fontId="0" fillId="4" borderId="44" xfId="0" applyFill="1" applyBorder="1" applyAlignment="1">
      <alignment horizontal="center"/>
    </xf>
    <xf numFmtId="0" fontId="0" fillId="4" borderId="68" xfId="0" applyFill="1" applyBorder="1" applyAlignment="1">
      <alignment horizontal="center"/>
    </xf>
    <xf numFmtId="0" fontId="0" fillId="4" borderId="69" xfId="0" applyFill="1" applyBorder="1" applyAlignment="1">
      <alignment horizontal="center"/>
    </xf>
    <xf numFmtId="0" fontId="2" fillId="12" borderId="8" xfId="0" applyFont="1" applyFill="1" applyBorder="1" applyAlignment="1">
      <alignment horizontal="center" vertical="center"/>
    </xf>
    <xf numFmtId="0" fontId="2" fillId="12" borderId="9" xfId="0" applyFont="1" applyFill="1" applyBorder="1" applyAlignment="1">
      <alignment horizontal="center" vertical="center"/>
    </xf>
    <xf numFmtId="0" fontId="1" fillId="14" borderId="24" xfId="0" applyFont="1" applyFill="1" applyBorder="1" applyAlignment="1">
      <alignment horizontal="center" vertical="center"/>
    </xf>
    <xf numFmtId="0" fontId="1" fillId="14" borderId="70" xfId="0" applyFont="1" applyFill="1" applyBorder="1" applyAlignment="1">
      <alignment horizontal="center" vertical="center"/>
    </xf>
    <xf numFmtId="0" fontId="1" fillId="14" borderId="64" xfId="0" applyFont="1" applyFill="1" applyBorder="1" applyAlignment="1">
      <alignment horizontal="center" vertical="center"/>
    </xf>
    <xf numFmtId="173" fontId="2" fillId="4" borderId="36" xfId="3" applyNumberFormat="1" applyFont="1" applyFill="1" applyBorder="1" applyAlignment="1">
      <alignment horizontal="center" vertical="center"/>
    </xf>
    <xf numFmtId="173" fontId="2" fillId="4" borderId="38" xfId="3" applyNumberFormat="1" applyFont="1" applyFill="1" applyBorder="1" applyAlignment="1">
      <alignment horizontal="center" vertical="center"/>
    </xf>
    <xf numFmtId="173" fontId="2" fillId="4" borderId="37" xfId="3" applyNumberFormat="1" applyFont="1" applyFill="1" applyBorder="1" applyAlignment="1">
      <alignment horizontal="center" vertical="center"/>
    </xf>
    <xf numFmtId="165" fontId="1" fillId="37" borderId="43" xfId="7" applyNumberFormat="1" applyFont="1" applyBorder="1" applyAlignment="1">
      <alignment horizontal="center" vertical="center" wrapText="1"/>
    </xf>
    <xf numFmtId="165" fontId="1" fillId="37" borderId="0" xfId="7" applyNumberFormat="1" applyFont="1" applyBorder="1" applyAlignment="1">
      <alignment horizontal="center" vertical="center" wrapText="1"/>
    </xf>
    <xf numFmtId="173" fontId="2" fillId="22" borderId="44" xfId="3" applyNumberFormat="1" applyFont="1" applyFill="1" applyBorder="1" applyAlignment="1">
      <alignment horizontal="center" vertical="center"/>
    </xf>
    <xf numFmtId="173" fontId="2" fillId="22" borderId="68" xfId="3" applyNumberFormat="1" applyFont="1" applyFill="1" applyBorder="1" applyAlignment="1">
      <alignment horizontal="center" vertical="center"/>
    </xf>
    <xf numFmtId="173" fontId="2" fillId="22" borderId="69" xfId="3" applyNumberFormat="1" applyFont="1" applyFill="1" applyBorder="1" applyAlignment="1">
      <alignment horizontal="center" vertical="center"/>
    </xf>
    <xf numFmtId="173" fontId="2" fillId="21" borderId="36" xfId="3" applyNumberFormat="1" applyFont="1" applyFill="1" applyBorder="1" applyAlignment="1">
      <alignment horizontal="center" vertical="center"/>
    </xf>
    <xf numFmtId="173" fontId="2" fillId="21" borderId="38" xfId="3" applyNumberFormat="1" applyFont="1" applyFill="1" applyBorder="1" applyAlignment="1">
      <alignment horizontal="center" vertical="center"/>
    </xf>
    <xf numFmtId="173" fontId="2" fillId="21" borderId="37" xfId="3" applyNumberFormat="1" applyFont="1" applyFill="1" applyBorder="1" applyAlignment="1">
      <alignment horizontal="center" vertical="center"/>
    </xf>
    <xf numFmtId="0" fontId="0" fillId="0" borderId="42" xfId="0" applyBorder="1" applyAlignment="1">
      <alignment horizontal="center"/>
    </xf>
    <xf numFmtId="0" fontId="0" fillId="0" borderId="54" xfId="0" applyBorder="1" applyAlignment="1">
      <alignment horizontal="center"/>
    </xf>
    <xf numFmtId="0" fontId="0" fillId="0" borderId="66" xfId="0" applyBorder="1" applyAlignment="1">
      <alignment horizontal="center"/>
    </xf>
    <xf numFmtId="0" fontId="0" fillId="0" borderId="43"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0" fillId="0" borderId="44"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37" fillId="0" borderId="42" xfId="0" applyFont="1" applyBorder="1" applyAlignment="1">
      <alignment horizontal="center" vertical="center"/>
    </xf>
    <xf numFmtId="0" fontId="37" fillId="0" borderId="54" xfId="0" applyFont="1" applyBorder="1" applyAlignment="1">
      <alignment horizontal="center" vertical="center"/>
    </xf>
    <xf numFmtId="0" fontId="37" fillId="0" borderId="66" xfId="0" applyFont="1" applyBorder="1" applyAlignment="1">
      <alignment horizontal="center" vertical="center"/>
    </xf>
    <xf numFmtId="170" fontId="24" fillId="28" borderId="59" xfId="1" applyNumberFormat="1" applyFont="1" applyFill="1" applyBorder="1" applyAlignment="1">
      <alignment horizontal="left" vertical="center" wrapText="1" indent="2"/>
    </xf>
    <xf numFmtId="170" fontId="24" fillId="28" borderId="60" xfId="1" applyNumberFormat="1" applyFont="1" applyFill="1" applyBorder="1" applyAlignment="1">
      <alignment horizontal="left" vertical="center" wrapText="1" indent="2"/>
    </xf>
    <xf numFmtId="165" fontId="28" fillId="0" borderId="54" xfId="0" applyNumberFormat="1" applyFont="1" applyBorder="1" applyAlignment="1">
      <alignment horizontal="center"/>
    </xf>
    <xf numFmtId="0" fontId="28" fillId="0" borderId="54" xfId="0" applyFont="1" applyBorder="1" applyAlignment="1">
      <alignment horizontal="center"/>
    </xf>
    <xf numFmtId="165" fontId="28" fillId="0" borderId="0" xfId="0" applyNumberFormat="1" applyFont="1" applyAlignment="1">
      <alignment horizontal="center"/>
    </xf>
    <xf numFmtId="0" fontId="28" fillId="0" borderId="0" xfId="0" applyFont="1" applyAlignment="1">
      <alignment horizontal="center"/>
    </xf>
    <xf numFmtId="165" fontId="22" fillId="17" borderId="54" xfId="1" applyFont="1" applyFill="1" applyBorder="1" applyAlignment="1">
      <alignment horizontal="center" vertical="center"/>
    </xf>
    <xf numFmtId="165" fontId="24" fillId="27" borderId="59" xfId="1" applyFont="1" applyFill="1" applyBorder="1" applyAlignment="1">
      <alignment horizontal="left" vertical="center" wrapText="1" indent="2"/>
    </xf>
    <xf numFmtId="165" fontId="24" fillId="27" borderId="60" xfId="1" applyFont="1" applyFill="1" applyBorder="1" applyAlignment="1">
      <alignment horizontal="left" vertical="center" wrapText="1" indent="2"/>
    </xf>
    <xf numFmtId="165" fontId="24" fillId="0" borderId="59" xfId="1" applyFont="1" applyBorder="1" applyAlignment="1">
      <alignment horizontal="left" vertical="center" wrapText="1" indent="2"/>
    </xf>
    <xf numFmtId="165" fontId="24" fillId="0" borderId="60" xfId="1" applyFont="1" applyBorder="1" applyAlignment="1">
      <alignment horizontal="left" vertical="center" wrapText="1" indent="2"/>
    </xf>
    <xf numFmtId="165" fontId="22" fillId="25" borderId="79" xfId="1" applyFont="1" applyFill="1" applyBorder="1" applyAlignment="1">
      <alignment horizontal="left" vertical="center" wrapText="1"/>
    </xf>
    <xf numFmtId="165" fontId="22" fillId="25" borderId="61" xfId="1" applyFont="1" applyFill="1" applyBorder="1" applyAlignment="1">
      <alignment horizontal="left" vertical="center" wrapText="1"/>
    </xf>
    <xf numFmtId="165" fontId="22" fillId="25" borderId="80" xfId="1" applyFont="1" applyFill="1" applyBorder="1" applyAlignment="1">
      <alignment horizontal="left" vertical="center" wrapText="1"/>
    </xf>
    <xf numFmtId="165" fontId="24" fillId="19" borderId="59" xfId="1" applyFont="1" applyFill="1" applyBorder="1" applyAlignment="1">
      <alignment horizontal="left" vertical="center" wrapText="1" indent="2"/>
    </xf>
    <xf numFmtId="165" fontId="24" fillId="19" borderId="60" xfId="1" applyFont="1" applyFill="1" applyBorder="1" applyAlignment="1">
      <alignment horizontal="left" vertical="center" wrapText="1" indent="2"/>
    </xf>
    <xf numFmtId="165" fontId="22" fillId="25" borderId="58" xfId="1" applyFont="1" applyFill="1" applyBorder="1" applyAlignment="1">
      <alignment horizontal="left" vertical="center" wrapText="1"/>
    </xf>
    <xf numFmtId="165" fontId="22" fillId="25" borderId="59" xfId="1" applyFont="1" applyFill="1" applyBorder="1" applyAlignment="1">
      <alignment horizontal="left" vertical="center" wrapText="1"/>
    </xf>
    <xf numFmtId="165" fontId="22" fillId="25" borderId="60" xfId="1" applyFont="1" applyFill="1" applyBorder="1" applyAlignment="1">
      <alignment horizontal="left" vertical="center" wrapText="1"/>
    </xf>
    <xf numFmtId="165" fontId="28" fillId="0" borderId="59" xfId="1" applyFont="1" applyBorder="1" applyAlignment="1">
      <alignment horizontal="left" vertical="center" wrapText="1" indent="2"/>
    </xf>
    <xf numFmtId="165" fontId="28" fillId="0" borderId="60" xfId="1" applyFont="1" applyBorder="1" applyAlignment="1">
      <alignment horizontal="left" vertical="center" wrapText="1" indent="2"/>
    </xf>
    <xf numFmtId="165" fontId="24" fillId="29" borderId="59" xfId="1" applyFont="1" applyFill="1" applyBorder="1" applyAlignment="1">
      <alignment horizontal="left" vertical="center" wrapText="1" indent="2"/>
    </xf>
    <xf numFmtId="165" fontId="24" fillId="29" borderId="60" xfId="1" applyFont="1" applyFill="1" applyBorder="1" applyAlignment="1">
      <alignment horizontal="left" vertical="center" wrapText="1" indent="2"/>
    </xf>
    <xf numFmtId="165" fontId="28" fillId="27" borderId="59" xfId="1" applyFont="1" applyFill="1" applyBorder="1" applyAlignment="1">
      <alignment horizontal="left" vertical="center" wrapText="1" indent="2"/>
    </xf>
    <xf numFmtId="165" fontId="28" fillId="27" borderId="60" xfId="1" applyFont="1" applyFill="1" applyBorder="1" applyAlignment="1">
      <alignment horizontal="left" vertical="center" wrapText="1" indent="2"/>
    </xf>
    <xf numFmtId="165" fontId="25" fillId="26" borderId="58" xfId="1" applyFont="1" applyFill="1" applyBorder="1" applyAlignment="1">
      <alignment horizontal="left" vertical="center" wrapText="1"/>
    </xf>
    <xf numFmtId="165" fontId="25" fillId="26" borderId="59" xfId="1" applyFont="1" applyFill="1" applyBorder="1" applyAlignment="1">
      <alignment horizontal="left" vertical="center" wrapText="1"/>
    </xf>
    <xf numFmtId="165" fontId="25" fillId="26" borderId="60" xfId="1" applyFont="1" applyFill="1" applyBorder="1" applyAlignment="1">
      <alignment horizontal="left" vertical="center" wrapText="1"/>
    </xf>
    <xf numFmtId="165" fontId="22" fillId="24" borderId="58" xfId="1" applyFont="1" applyFill="1" applyBorder="1" applyAlignment="1">
      <alignment horizontal="left" vertical="center" wrapText="1"/>
    </xf>
    <xf numFmtId="165" fontId="22" fillId="24" borderId="59" xfId="1" applyFont="1" applyFill="1" applyBorder="1" applyAlignment="1">
      <alignment horizontal="left" vertical="center" wrapText="1"/>
    </xf>
    <xf numFmtId="165" fontId="22" fillId="24" borderId="60" xfId="1" applyFont="1" applyFill="1" applyBorder="1" applyAlignment="1">
      <alignment horizontal="left" vertical="center" wrapText="1"/>
    </xf>
    <xf numFmtId="165" fontId="24" fillId="28" borderId="59" xfId="1" applyFont="1" applyFill="1" applyBorder="1" applyAlignment="1">
      <alignment horizontal="left" vertical="center" wrapText="1" indent="2"/>
    </xf>
    <xf numFmtId="165" fontId="24" fillId="28" borderId="60" xfId="1" applyFont="1" applyFill="1" applyBorder="1" applyAlignment="1">
      <alignment horizontal="left" vertical="center" wrapText="1" indent="2"/>
    </xf>
    <xf numFmtId="165" fontId="22" fillId="18" borderId="58" xfId="1" applyFont="1" applyFill="1" applyBorder="1" applyAlignment="1">
      <alignment horizontal="left" vertical="center" wrapText="1"/>
    </xf>
    <xf numFmtId="165" fontId="22" fillId="18" borderId="59" xfId="1" applyFont="1" applyFill="1" applyBorder="1" applyAlignment="1">
      <alignment horizontal="left" vertical="center" wrapText="1"/>
    </xf>
    <xf numFmtId="165" fontId="22" fillId="18" borderId="60" xfId="1" applyFont="1" applyFill="1" applyBorder="1" applyAlignment="1">
      <alignment horizontal="left" vertical="center" wrapText="1"/>
    </xf>
    <xf numFmtId="170" fontId="24" fillId="19" borderId="59" xfId="1" applyNumberFormat="1" applyFont="1" applyFill="1" applyBorder="1" applyAlignment="1">
      <alignment horizontal="left" vertical="center" wrapText="1" indent="2"/>
    </xf>
    <xf numFmtId="170" fontId="24" fillId="19" borderId="60" xfId="1" applyNumberFormat="1" applyFont="1" applyFill="1" applyBorder="1" applyAlignment="1">
      <alignment horizontal="left" vertical="center" wrapText="1" indent="2"/>
    </xf>
    <xf numFmtId="0" fontId="30" fillId="12" borderId="78"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37" xfId="0" applyFont="1" applyFill="1" applyBorder="1" applyAlignment="1">
      <alignment horizontal="center" vertical="center"/>
    </xf>
    <xf numFmtId="0" fontId="30" fillId="12" borderId="36" xfId="0" applyFont="1" applyFill="1" applyBorder="1" applyAlignment="1">
      <alignment horizontal="center" vertical="center"/>
    </xf>
    <xf numFmtId="0" fontId="30" fillId="12" borderId="38" xfId="0" applyFont="1" applyFill="1" applyBorder="1" applyAlignment="1">
      <alignment horizontal="center" vertical="center"/>
    </xf>
    <xf numFmtId="0" fontId="30" fillId="12" borderId="37" xfId="0" applyFont="1" applyFill="1" applyBorder="1" applyAlignment="1">
      <alignment horizontal="center" vertical="center"/>
    </xf>
    <xf numFmtId="170" fontId="24" fillId="0" borderId="59" xfId="1" applyNumberFormat="1" applyFont="1" applyBorder="1" applyAlignment="1">
      <alignment horizontal="left" vertical="center" wrapText="1" indent="2"/>
    </xf>
    <xf numFmtId="170" fontId="24" fillId="0" borderId="60" xfId="1" applyNumberFormat="1" applyFont="1" applyBorder="1" applyAlignment="1">
      <alignment horizontal="left" vertical="center" wrapText="1" indent="2"/>
    </xf>
    <xf numFmtId="170" fontId="24" fillId="27" borderId="59" xfId="1" applyNumberFormat="1" applyFont="1" applyFill="1" applyBorder="1" applyAlignment="1">
      <alignment horizontal="left" vertical="center" wrapText="1" indent="2"/>
    </xf>
    <xf numFmtId="170" fontId="24" fillId="27" borderId="60" xfId="1" applyNumberFormat="1" applyFont="1" applyFill="1" applyBorder="1" applyAlignment="1">
      <alignment horizontal="left" vertical="center" wrapText="1" indent="2"/>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0" fillId="0" borderId="50" xfId="0" applyBorder="1" applyAlignment="1">
      <alignment horizontal="center"/>
    </xf>
    <xf numFmtId="0" fontId="0" fillId="0" borderId="56" xfId="0" applyBorder="1" applyAlignment="1">
      <alignment horizontal="center"/>
    </xf>
    <xf numFmtId="0" fontId="0" fillId="0" borderId="53" xfId="0" applyBorder="1" applyAlignment="1">
      <alignment horizontal="center"/>
    </xf>
    <xf numFmtId="0" fontId="2" fillId="0" borderId="56" xfId="0" applyFont="1" applyBorder="1" applyAlignment="1">
      <alignment horizontal="center" vertical="center" wrapText="1"/>
    </xf>
    <xf numFmtId="0" fontId="19" fillId="7" borderId="36" xfId="0" applyFont="1" applyFill="1" applyBorder="1" applyAlignment="1">
      <alignment horizontal="right" vertical="center" wrapText="1"/>
    </xf>
    <xf numFmtId="0" fontId="19" fillId="7" borderId="37" xfId="0" applyFont="1" applyFill="1" applyBorder="1" applyAlignment="1">
      <alignment horizontal="right" vertical="center" wrapText="1"/>
    </xf>
    <xf numFmtId="169" fontId="21" fillId="12" borderId="36" xfId="0" applyNumberFormat="1" applyFont="1" applyFill="1" applyBorder="1" applyAlignment="1">
      <alignment horizontal="center" vertical="center"/>
    </xf>
    <xf numFmtId="169" fontId="21" fillId="12" borderId="38" xfId="0" applyNumberFormat="1" applyFont="1" applyFill="1" applyBorder="1" applyAlignment="1">
      <alignment horizontal="center" vertical="center"/>
    </xf>
    <xf numFmtId="169" fontId="21" fillId="12" borderId="37" xfId="0" applyNumberFormat="1" applyFont="1" applyFill="1" applyBorder="1" applyAlignment="1">
      <alignment horizontal="center" vertical="center"/>
    </xf>
    <xf numFmtId="0" fontId="17" fillId="20" borderId="36" xfId="0" applyFont="1" applyFill="1" applyBorder="1" applyAlignment="1">
      <alignment horizontal="left" vertical="center" shrinkToFit="1"/>
    </xf>
    <xf numFmtId="0" fontId="17" fillId="20" borderId="38" xfId="0" applyFont="1" applyFill="1" applyBorder="1" applyAlignment="1">
      <alignment horizontal="left" vertical="center" shrinkToFit="1"/>
    </xf>
    <xf numFmtId="0" fontId="17" fillId="20" borderId="37" xfId="0" applyFont="1" applyFill="1" applyBorder="1" applyAlignment="1">
      <alignment horizontal="left" vertical="center" shrinkToFit="1"/>
    </xf>
    <xf numFmtId="0" fontId="19" fillId="25" borderId="38" xfId="0" applyFont="1" applyFill="1" applyBorder="1" applyAlignment="1">
      <alignment horizontal="center" vertical="center" wrapText="1"/>
    </xf>
    <xf numFmtId="0" fontId="19" fillId="25" borderId="37" xfId="0" applyFont="1" applyFill="1" applyBorder="1" applyAlignment="1">
      <alignment horizontal="center" vertical="center" wrapText="1"/>
    </xf>
    <xf numFmtId="169" fontId="20" fillId="23" borderId="36" xfId="0" applyNumberFormat="1" applyFont="1" applyFill="1" applyBorder="1" applyAlignment="1">
      <alignment horizontal="center" vertical="center"/>
    </xf>
    <xf numFmtId="169" fontId="20" fillId="23" borderId="38" xfId="0" applyNumberFormat="1" applyFont="1" applyFill="1" applyBorder="1" applyAlignment="1">
      <alignment horizontal="center" vertical="center"/>
    </xf>
    <xf numFmtId="169" fontId="20" fillId="23" borderId="37" xfId="0" applyNumberFormat="1" applyFont="1" applyFill="1" applyBorder="1" applyAlignment="1">
      <alignment horizontal="center" vertical="center"/>
    </xf>
    <xf numFmtId="0" fontId="17" fillId="20" borderId="54" xfId="0" applyFont="1" applyFill="1" applyBorder="1" applyAlignment="1">
      <alignment horizontal="left" vertical="center" shrinkToFit="1"/>
    </xf>
    <xf numFmtId="0" fontId="18" fillId="4" borderId="42" xfId="0" applyFont="1" applyFill="1" applyBorder="1" applyAlignment="1">
      <alignment horizontal="center" vertical="center"/>
    </xf>
    <xf numFmtId="0" fontId="18" fillId="4" borderId="44" xfId="0" applyFont="1" applyFill="1" applyBorder="1" applyAlignment="1">
      <alignment horizontal="center" vertical="center"/>
    </xf>
    <xf numFmtId="173" fontId="2" fillId="30" borderId="38" xfId="1" applyNumberFormat="1" applyFont="1" applyFill="1" applyBorder="1" applyAlignment="1">
      <alignment horizontal="center" vertical="center"/>
    </xf>
    <xf numFmtId="0" fontId="1" fillId="17" borderId="41" xfId="0" applyFont="1" applyFill="1" applyBorder="1" applyAlignment="1">
      <alignment horizontal="center" vertical="center"/>
    </xf>
    <xf numFmtId="0" fontId="1" fillId="17" borderId="0" xfId="0" applyFont="1" applyFill="1" applyAlignment="1">
      <alignment horizontal="center" vertical="center"/>
    </xf>
    <xf numFmtId="0" fontId="0" fillId="3" borderId="54" xfId="0" applyFill="1" applyBorder="1" applyAlignment="1">
      <alignment horizontal="left" vertical="center" wrapText="1"/>
    </xf>
    <xf numFmtId="0" fontId="0" fillId="3" borderId="0" xfId="0" applyFill="1" applyAlignment="1">
      <alignment horizontal="left"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5" fillId="4" borderId="0" xfId="0" applyFont="1" applyFill="1" applyAlignment="1">
      <alignment horizontal="center" vertical="center" wrapText="1"/>
    </xf>
    <xf numFmtId="0" fontId="0" fillId="3" borderId="0" xfId="0" applyFill="1" applyAlignment="1">
      <alignment horizontal="center" vertical="center" wrapText="1"/>
    </xf>
  </cellXfs>
  <cellStyles count="9">
    <cellStyle name="Bueno" xfId="4" builtinId="26"/>
    <cellStyle name="Cálculo" xfId="6" builtinId="22"/>
    <cellStyle name="Énfasis2" xfId="7" builtinId="33"/>
    <cellStyle name="Entrada" xfId="5" builtinId="20"/>
    <cellStyle name="Incorrecto" xfId="8" builtinId="27"/>
    <cellStyle name="Millares" xfId="3" builtinId="3"/>
    <cellStyle name="Moneda" xfId="1" builtinId="4"/>
    <cellStyle name="Moneda 2" xfId="2" xr:uid="{815CAC9E-DE2E-4CE4-8FA1-B5C0FB1448FF}"/>
    <cellStyle name="Normal" xfId="0" builtinId="0"/>
  </cellStyles>
  <dxfs count="107">
    <dxf>
      <font>
        <color rgb="FF9C0006"/>
      </font>
      <fill>
        <patternFill>
          <bgColor rgb="FFFFC7CE"/>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1C1"/>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uan isais Ruiz" id="{8C8E9243-9A8F-4C13-BAAD-81F8A978BCC7}" userId="S::jiruiz@economia.gob.do::d91a0444-c757-42f5-ae83-4f4c41d3189b" providerId="AD"/>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v>Texto
El contenido generado por IA puede ser incorrecto.</v>
  </rv>
  <rv s="1">
    <v>1</v>
    <v>5</v>
  </rv>
  <rv s="0">
    <v>2</v>
    <v>5</v>
    <v>Texto
El contenido generado por IA puede ser incorrecto.</v>
  </rv>
  <rv s="1">
    <v>3</v>
    <v>5</v>
  </rv>
  <rv s="0">
    <v>4</v>
    <v>5</v>
    <v>Texto
El contenido generado por IA puede ser incorrecto.</v>
  </rv>
  <rv s="1">
    <v>5</v>
    <v>5</v>
  </rv>
  <rv s="0">
    <v>6</v>
    <v>5</v>
    <v>Texto
El contenido generado por IA puede ser incorrecto.</v>
  </rv>
  <rv s="1">
    <v>7</v>
    <v>5</v>
  </rv>
  <rv s="0">
    <v>8</v>
    <v>5</v>
    <v>Texto
El contenido generado por IA puede ser incorrecto.</v>
  </rv>
  <rv s="1">
    <v>9</v>
    <v>5</v>
  </rv>
  <rv s="0">
    <v>10</v>
    <v>5</v>
    <v>Texto
El contenido generado por IA puede ser incorrecto.</v>
  </rv>
  <rv s="1">
    <v>11</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25" dT="2025-11-18T04:59:20.76" personId="{8C8E9243-9A8F-4C13-BAAD-81F8A978BCC7}" id="{1BCD7278-17A3-4C75-81A3-43C447F47DE8}">
    <text>Se lanzo un proceso por esa cantidad</text>
  </threadedComment>
  <threadedComment ref="O34" dT="2025-11-18T04:59:52.66" personId="{8C8E9243-9A8F-4C13-BAAD-81F8A978BCC7}" id="{0DAFDA8E-89F9-4A04-8C55-2104774B4191}">
    <text>3 camionetas Nissan NP300 adjudicadas</text>
  </threadedComment>
  <threadedComment ref="O38" dT="2025-11-18T05:00:42.58" personId="{8C8E9243-9A8F-4C13-BAAD-81F8A978BCC7}" id="{6AD405A4-60E8-40F9-8652-A501BF5E8A28}">
    <text>Fondos trasladados a A.1.4.10. Viáticos fuera del país.</text>
  </threadedComment>
  <threadedComment ref="O61" dT="2025-11-18T05:03:03.64" personId="{8C8E9243-9A8F-4C13-BAAD-81F8A978BCC7}" id="{C39095CE-2EA0-4085-8A6A-6ECB14878D12}">
    <text>Fondos pasado a A.1.4.31. Servicios técnicos y profesionales</text>
  </threadedComment>
  <threadedComment ref="O177" dT="2025-11-18T05:05:46.18" personId="{8C8E9243-9A8F-4C13-BAAD-81F8A978BCC7}" id="{B824410B-93E2-4491-94DA-5DD91E459C2A}">
    <text>Se movió a B.1.7.6.</text>
  </threadedComment>
</ThreadedComment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3E87-27F7-47B9-BFAC-32935098DA9A}">
  <dimension ref="C2:AJ213"/>
  <sheetViews>
    <sheetView topLeftCell="C176" zoomScale="55" zoomScaleNormal="55" workbookViewId="0">
      <selection activeCell="I14" sqref="I14"/>
    </sheetView>
    <sheetView workbookViewId="1"/>
  </sheetViews>
  <sheetFormatPr baseColWidth="10" defaultColWidth="11.44140625" defaultRowHeight="14.4" x14ac:dyDescent="0.3"/>
  <cols>
    <col min="3" max="4" width="23.109375" customWidth="1"/>
    <col min="5" max="5" width="51.33203125" customWidth="1"/>
    <col min="6" max="6" width="26.33203125" customWidth="1"/>
    <col min="7" max="7" width="20" customWidth="1"/>
    <col min="8" max="8" width="23.44140625" style="21" customWidth="1"/>
    <col min="9" max="9" width="11.44140625" customWidth="1"/>
    <col min="10" max="10" width="16.6640625" customWidth="1"/>
    <col min="11" max="14" width="15.33203125" style="590" bestFit="1" customWidth="1"/>
    <col min="15" max="17" width="14" style="590" bestFit="1" customWidth="1"/>
    <col min="18" max="18" width="15.33203125" style="590" bestFit="1" customWidth="1"/>
    <col min="19" max="19" width="14.109375" style="590" bestFit="1" customWidth="1"/>
    <col min="20" max="22" width="14" style="590" bestFit="1" customWidth="1"/>
    <col min="23" max="30" width="14.88671875" style="590" bestFit="1" customWidth="1"/>
    <col min="31" max="31" width="14.109375" style="590" bestFit="1" customWidth="1"/>
    <col min="32" max="34" width="14" style="590" bestFit="1" customWidth="1"/>
    <col min="35" max="35" width="16.6640625" style="530" bestFit="1" customWidth="1"/>
    <col min="36" max="36" width="16.6640625" bestFit="1" customWidth="1"/>
  </cols>
  <sheetData>
    <row r="2" spans="3:36" ht="15" thickBot="1" x14ac:dyDescent="0.35"/>
    <row r="3" spans="3:36" ht="30" customHeight="1" thickBot="1" x14ac:dyDescent="0.35">
      <c r="C3" s="958" t="s">
        <v>0</v>
      </c>
      <c r="D3" s="959"/>
      <c r="E3" s="417" t="s">
        <v>1</v>
      </c>
      <c r="F3" s="417" t="s">
        <v>2</v>
      </c>
      <c r="G3" s="418" t="s">
        <v>3</v>
      </c>
    </row>
    <row r="4" spans="3:36" ht="58.2" thickBot="1" x14ac:dyDescent="0.35">
      <c r="C4" s="964" t="s">
        <v>4</v>
      </c>
      <c r="D4" s="965"/>
      <c r="E4" s="438" t="s">
        <v>5</v>
      </c>
      <c r="F4" s="439">
        <v>45839</v>
      </c>
      <c r="G4" s="441">
        <v>46568</v>
      </c>
      <c r="K4" s="939">
        <v>2026</v>
      </c>
      <c r="L4" s="940"/>
      <c r="M4" s="940"/>
      <c r="N4" s="940"/>
      <c r="O4" s="940"/>
      <c r="P4" s="940"/>
      <c r="Q4" s="940"/>
      <c r="R4" s="940"/>
      <c r="S4" s="940"/>
      <c r="T4" s="940"/>
      <c r="U4" s="940"/>
      <c r="V4" s="941"/>
      <c r="W4" s="939">
        <v>2027</v>
      </c>
      <c r="X4" s="940"/>
      <c r="Y4" s="940"/>
      <c r="Z4" s="940"/>
      <c r="AA4" s="940"/>
      <c r="AB4" s="940"/>
      <c r="AC4" s="940"/>
      <c r="AD4" s="940"/>
      <c r="AE4" s="940"/>
      <c r="AF4" s="940"/>
      <c r="AG4" s="940"/>
      <c r="AH4" s="941"/>
    </row>
    <row r="5" spans="3:36" ht="29.4" thickBot="1" x14ac:dyDescent="0.35">
      <c r="C5" s="416" t="s">
        <v>0</v>
      </c>
      <c r="D5" s="417" t="s">
        <v>6</v>
      </c>
      <c r="E5" s="417" t="s">
        <v>7</v>
      </c>
      <c r="F5" s="417" t="s">
        <v>8</v>
      </c>
      <c r="G5" s="417" t="s">
        <v>9</v>
      </c>
      <c r="H5" s="418" t="s">
        <v>10</v>
      </c>
      <c r="K5" s="593" t="s">
        <v>11</v>
      </c>
      <c r="L5" s="594" t="s">
        <v>12</v>
      </c>
      <c r="M5" s="594" t="s">
        <v>13</v>
      </c>
      <c r="N5" s="594" t="s">
        <v>14</v>
      </c>
      <c r="O5" s="594" t="s">
        <v>15</v>
      </c>
      <c r="P5" s="594" t="s">
        <v>16</v>
      </c>
      <c r="Q5" s="594" t="s">
        <v>17</v>
      </c>
      <c r="R5" s="594" t="s">
        <v>18</v>
      </c>
      <c r="S5" s="594" t="s">
        <v>19</v>
      </c>
      <c r="T5" s="594" t="s">
        <v>20</v>
      </c>
      <c r="U5" s="594" t="s">
        <v>21</v>
      </c>
      <c r="V5" s="595" t="s">
        <v>22</v>
      </c>
      <c r="W5" s="593" t="s">
        <v>11</v>
      </c>
      <c r="X5" s="594" t="s">
        <v>12</v>
      </c>
      <c r="Y5" s="594" t="s">
        <v>13</v>
      </c>
      <c r="Z5" s="594" t="s">
        <v>14</v>
      </c>
      <c r="AA5" s="594" t="s">
        <v>15</v>
      </c>
      <c r="AB5" s="594" t="s">
        <v>16</v>
      </c>
      <c r="AC5" s="594" t="s">
        <v>17</v>
      </c>
      <c r="AD5" s="594" t="s">
        <v>18</v>
      </c>
      <c r="AE5" s="594" t="s">
        <v>19</v>
      </c>
      <c r="AF5" s="594" t="s">
        <v>20</v>
      </c>
      <c r="AG5" s="594" t="s">
        <v>21</v>
      </c>
      <c r="AH5" s="595" t="s">
        <v>22</v>
      </c>
      <c r="AI5" s="974" t="s">
        <v>23</v>
      </c>
      <c r="AJ5" s="975"/>
    </row>
    <row r="6" spans="3:36" ht="29.4" thickBot="1" x14ac:dyDescent="0.35">
      <c r="C6" s="397" t="s">
        <v>4</v>
      </c>
      <c r="D6" s="442" t="s">
        <v>24</v>
      </c>
      <c r="E6" s="586" t="s">
        <v>25</v>
      </c>
      <c r="F6" s="588">
        <v>35000</v>
      </c>
      <c r="G6" s="587">
        <v>46098</v>
      </c>
      <c r="H6" s="421">
        <v>46233</v>
      </c>
      <c r="I6" s="358"/>
      <c r="K6" s="720"/>
      <c r="L6" s="721"/>
      <c r="M6" s="596">
        <v>7000</v>
      </c>
      <c r="N6" s="596">
        <v>0</v>
      </c>
      <c r="O6" s="596">
        <v>17500</v>
      </c>
      <c r="P6" s="596">
        <v>0</v>
      </c>
      <c r="Q6" s="596">
        <v>10500</v>
      </c>
      <c r="R6" s="721"/>
      <c r="S6" s="721"/>
      <c r="T6" s="721"/>
      <c r="U6" s="721"/>
      <c r="V6" s="722"/>
      <c r="W6" s="848"/>
      <c r="X6" s="721"/>
      <c r="Y6" s="721"/>
      <c r="Z6" s="721"/>
      <c r="AA6" s="721"/>
      <c r="AB6" s="721"/>
      <c r="AC6" s="721"/>
      <c r="AD6" s="721"/>
      <c r="AE6" s="721"/>
      <c r="AF6" s="721"/>
      <c r="AG6" s="721"/>
      <c r="AH6" s="722"/>
      <c r="AI6" s="860" t="str">
        <f>IF(SUM(K6:AH6)=F6,"Si","No")</f>
        <v>Si</v>
      </c>
      <c r="AJ6" s="862">
        <f>+SUM(K6:AH6)</f>
        <v>35000</v>
      </c>
    </row>
    <row r="7" spans="3:36" ht="15" thickBot="1" x14ac:dyDescent="0.35">
      <c r="C7" s="21"/>
      <c r="D7" s="21"/>
      <c r="E7" s="462" t="s">
        <v>26</v>
      </c>
      <c r="F7" s="463">
        <f>SUM(F6)</f>
        <v>35000</v>
      </c>
      <c r="G7" s="400"/>
      <c r="K7" s="739">
        <f>+SUM(K6)</f>
        <v>0</v>
      </c>
      <c r="L7" s="738">
        <f t="shared" ref="L7:V7" si="0">+SUM(L6)</f>
        <v>0</v>
      </c>
      <c r="M7" s="738">
        <f t="shared" si="0"/>
        <v>7000</v>
      </c>
      <c r="N7" s="738">
        <f t="shared" si="0"/>
        <v>0</v>
      </c>
      <c r="O7" s="738">
        <f t="shared" si="0"/>
        <v>17500</v>
      </c>
      <c r="P7" s="738">
        <f t="shared" si="0"/>
        <v>0</v>
      </c>
      <c r="Q7" s="738">
        <f t="shared" si="0"/>
        <v>10500</v>
      </c>
      <c r="R7" s="738">
        <f t="shared" si="0"/>
        <v>0</v>
      </c>
      <c r="S7" s="738">
        <f t="shared" si="0"/>
        <v>0</v>
      </c>
      <c r="T7" s="738">
        <f t="shared" si="0"/>
        <v>0</v>
      </c>
      <c r="U7" s="738">
        <f t="shared" si="0"/>
        <v>0</v>
      </c>
      <c r="V7" s="853">
        <f t="shared" si="0"/>
        <v>0</v>
      </c>
      <c r="W7" s="739">
        <f>+SUM(W6)</f>
        <v>0</v>
      </c>
      <c r="X7" s="738">
        <f t="shared" ref="X7" si="1">+SUM(X6)</f>
        <v>0</v>
      </c>
      <c r="Y7" s="738">
        <f t="shared" ref="Y7" si="2">+SUM(Y6)</f>
        <v>0</v>
      </c>
      <c r="Z7" s="738">
        <f t="shared" ref="Z7" si="3">+SUM(Z6)</f>
        <v>0</v>
      </c>
      <c r="AA7" s="738">
        <f t="shared" ref="AA7" si="4">+SUM(AA6)</f>
        <v>0</v>
      </c>
      <c r="AB7" s="738">
        <f t="shared" ref="AB7" si="5">+SUM(AB6)</f>
        <v>0</v>
      </c>
      <c r="AC7" s="738">
        <f t="shared" ref="AC7" si="6">+SUM(AC6)</f>
        <v>0</v>
      </c>
      <c r="AD7" s="738">
        <f t="shared" ref="AD7" si="7">+SUM(AD6)</f>
        <v>0</v>
      </c>
      <c r="AE7" s="738">
        <f t="shared" ref="AE7" si="8">+SUM(AE6)</f>
        <v>0</v>
      </c>
      <c r="AF7" s="738">
        <f t="shared" ref="AF7" si="9">+SUM(AF6)</f>
        <v>0</v>
      </c>
      <c r="AG7" s="738">
        <f t="shared" ref="AG7" si="10">+SUM(AG6)</f>
        <v>0</v>
      </c>
      <c r="AH7" s="853">
        <f t="shared" ref="AH7" si="11">+SUM(AH6)</f>
        <v>0</v>
      </c>
      <c r="AI7" s="861"/>
    </row>
    <row r="8" spans="3:36" ht="15" thickBot="1" x14ac:dyDescent="0.35">
      <c r="C8" s="21"/>
      <c r="D8" s="21"/>
      <c r="E8" s="857"/>
      <c r="F8" s="858"/>
      <c r="G8" s="859"/>
      <c r="K8" s="971">
        <f>+SUM(K7:V7)</f>
        <v>35000</v>
      </c>
      <c r="L8" s="972"/>
      <c r="M8" s="972"/>
      <c r="N8" s="972"/>
      <c r="O8" s="972"/>
      <c r="P8" s="972"/>
      <c r="Q8" s="972"/>
      <c r="R8" s="972"/>
      <c r="S8" s="972"/>
      <c r="T8" s="972"/>
      <c r="U8" s="972"/>
      <c r="V8" s="973"/>
      <c r="W8" s="971">
        <f>+SUM(W7:AH7)</f>
        <v>0</v>
      </c>
      <c r="X8" s="972"/>
      <c r="Y8" s="972"/>
      <c r="Z8" s="972"/>
      <c r="AA8" s="972"/>
      <c r="AB8" s="972"/>
      <c r="AC8" s="972"/>
      <c r="AD8" s="972"/>
      <c r="AE8" s="972"/>
      <c r="AF8" s="972"/>
      <c r="AG8" s="972"/>
      <c r="AH8" s="973"/>
      <c r="AI8" s="860" t="str">
        <f>IF(SUM(K8:AH8)=F7,"Si","No")</f>
        <v>Si</v>
      </c>
      <c r="AJ8" s="862">
        <f t="shared" ref="AJ8" si="12">+SUM(K8:AH8)</f>
        <v>35000</v>
      </c>
    </row>
    <row r="9" spans="3:36" x14ac:dyDescent="0.3">
      <c r="C9" s="958" t="s">
        <v>27</v>
      </c>
      <c r="D9" s="959"/>
      <c r="E9" s="417" t="s">
        <v>1</v>
      </c>
      <c r="F9" s="417" t="s">
        <v>2</v>
      </c>
      <c r="G9" s="418" t="s">
        <v>3</v>
      </c>
      <c r="K9" s="946"/>
      <c r="L9" s="947"/>
      <c r="M9" s="947"/>
      <c r="N9" s="947"/>
      <c r="O9" s="947"/>
      <c r="P9" s="947"/>
      <c r="Q9" s="947"/>
      <c r="R9" s="947"/>
      <c r="S9" s="947"/>
      <c r="T9" s="947"/>
      <c r="U9" s="947"/>
      <c r="V9" s="948"/>
      <c r="W9" s="946"/>
      <c r="X9" s="947"/>
      <c r="Y9" s="947"/>
      <c r="Z9" s="947"/>
      <c r="AA9" s="947"/>
      <c r="AB9" s="947"/>
      <c r="AC9" s="947"/>
      <c r="AD9" s="947"/>
      <c r="AE9" s="947"/>
      <c r="AF9" s="947"/>
      <c r="AG9" s="947"/>
      <c r="AH9" s="948"/>
      <c r="AI9" s="861"/>
    </row>
    <row r="10" spans="3:36" ht="15" thickBot="1" x14ac:dyDescent="0.35">
      <c r="C10" s="956" t="s">
        <v>28</v>
      </c>
      <c r="D10" s="957"/>
      <c r="E10" s="430" t="s">
        <v>29</v>
      </c>
      <c r="F10" s="431">
        <v>45839</v>
      </c>
      <c r="G10" s="432">
        <v>46752</v>
      </c>
      <c r="K10" s="949"/>
      <c r="L10" s="950"/>
      <c r="M10" s="950"/>
      <c r="N10" s="950"/>
      <c r="O10" s="950"/>
      <c r="P10" s="950"/>
      <c r="Q10" s="950"/>
      <c r="R10" s="950"/>
      <c r="S10" s="950"/>
      <c r="T10" s="950"/>
      <c r="U10" s="950"/>
      <c r="V10" s="951"/>
      <c r="W10" s="949"/>
      <c r="X10" s="950"/>
      <c r="Y10" s="950"/>
      <c r="Z10" s="950"/>
      <c r="AA10" s="950"/>
      <c r="AB10" s="950"/>
      <c r="AC10" s="950"/>
      <c r="AD10" s="950"/>
      <c r="AE10" s="950"/>
      <c r="AF10" s="950"/>
      <c r="AG10" s="950"/>
      <c r="AH10" s="951"/>
      <c r="AI10" s="861"/>
    </row>
    <row r="11" spans="3:36" x14ac:dyDescent="0.3">
      <c r="C11" s="416" t="s">
        <v>0</v>
      </c>
      <c r="D11" s="417" t="s">
        <v>6</v>
      </c>
      <c r="E11" s="417" t="s">
        <v>7</v>
      </c>
      <c r="F11" s="417" t="s">
        <v>8</v>
      </c>
      <c r="G11" s="417" t="s">
        <v>9</v>
      </c>
      <c r="H11" s="418" t="s">
        <v>10</v>
      </c>
      <c r="K11" s="946"/>
      <c r="L11" s="947"/>
      <c r="M11" s="947"/>
      <c r="N11" s="947"/>
      <c r="O11" s="947"/>
      <c r="P11" s="947"/>
      <c r="Q11" s="947"/>
      <c r="R11" s="947"/>
      <c r="S11" s="947"/>
      <c r="T11" s="947"/>
      <c r="U11" s="947"/>
      <c r="V11" s="948"/>
      <c r="W11" s="946"/>
      <c r="X11" s="947"/>
      <c r="Y11" s="947"/>
      <c r="Z11" s="947"/>
      <c r="AA11" s="947"/>
      <c r="AB11" s="947"/>
      <c r="AC11" s="947"/>
      <c r="AD11" s="947"/>
      <c r="AE11" s="947"/>
      <c r="AF11" s="947"/>
      <c r="AG11" s="947"/>
      <c r="AH11" s="948"/>
      <c r="AI11" s="861"/>
    </row>
    <row r="12" spans="3:36" ht="28.8" x14ac:dyDescent="0.3">
      <c r="C12" s="407" t="s">
        <v>28</v>
      </c>
      <c r="D12" s="435" t="s">
        <v>30</v>
      </c>
      <c r="E12" s="405" t="s">
        <v>31</v>
      </c>
      <c r="F12" s="443">
        <v>100000</v>
      </c>
      <c r="G12" s="436">
        <v>46037</v>
      </c>
      <c r="H12" s="421">
        <v>46157</v>
      </c>
      <c r="I12" s="358"/>
      <c r="K12" s="597">
        <v>20000</v>
      </c>
      <c r="L12" s="591">
        <v>20000</v>
      </c>
      <c r="M12" s="591">
        <v>20000</v>
      </c>
      <c r="N12" s="591">
        <v>20000</v>
      </c>
      <c r="O12" s="591">
        <v>20000</v>
      </c>
      <c r="P12" s="146"/>
      <c r="Q12" s="146"/>
      <c r="R12" s="146"/>
      <c r="S12" s="146"/>
      <c r="T12" s="146"/>
      <c r="U12" s="146"/>
      <c r="V12" s="724"/>
      <c r="W12" s="849"/>
      <c r="X12" s="146"/>
      <c r="Y12" s="146"/>
      <c r="Z12" s="146"/>
      <c r="AA12" s="146"/>
      <c r="AB12" s="146"/>
      <c r="AC12" s="146"/>
      <c r="AD12" s="146"/>
      <c r="AE12" s="146"/>
      <c r="AF12" s="146"/>
      <c r="AG12" s="146"/>
      <c r="AH12" s="724"/>
      <c r="AI12" s="860" t="str">
        <f>IF(SUM(K12:AH12)=F12,"Si","No")</f>
        <v>Si</v>
      </c>
      <c r="AJ12" s="862">
        <f t="shared" ref="AJ12:AJ13" si="13">+SUM(K12:AH12)</f>
        <v>100000</v>
      </c>
    </row>
    <row r="13" spans="3:36" ht="29.4" thickBot="1" x14ac:dyDescent="0.35">
      <c r="C13" s="398" t="s">
        <v>28</v>
      </c>
      <c r="D13" s="401" t="s">
        <v>30</v>
      </c>
      <c r="E13" s="404" t="s">
        <v>32</v>
      </c>
      <c r="F13" s="403">
        <v>130000</v>
      </c>
      <c r="G13" s="448">
        <v>46154</v>
      </c>
      <c r="H13" s="402">
        <v>46245</v>
      </c>
      <c r="I13" s="358"/>
      <c r="K13" s="723"/>
      <c r="L13" s="146"/>
      <c r="M13" s="146"/>
      <c r="N13" s="146"/>
      <c r="O13" s="591">
        <v>32500</v>
      </c>
      <c r="P13" s="591">
        <v>32500</v>
      </c>
      <c r="Q13" s="146"/>
      <c r="R13" s="146"/>
      <c r="S13" s="146"/>
      <c r="T13" s="146"/>
      <c r="U13" s="146"/>
      <c r="V13" s="724"/>
      <c r="W13" s="849"/>
      <c r="X13" s="146"/>
      <c r="Y13" s="146"/>
      <c r="Z13" s="146"/>
      <c r="AA13" s="591">
        <v>32500</v>
      </c>
      <c r="AB13" s="591">
        <v>32500</v>
      </c>
      <c r="AC13" s="146"/>
      <c r="AD13" s="146"/>
      <c r="AE13" s="146"/>
      <c r="AF13" s="146"/>
      <c r="AG13" s="146"/>
      <c r="AH13" s="724"/>
      <c r="AI13" s="860" t="str">
        <f>IF(SUM(K13:AH13)=F13,"Si","No")</f>
        <v>Si</v>
      </c>
      <c r="AJ13" s="862">
        <f t="shared" si="13"/>
        <v>130000</v>
      </c>
    </row>
    <row r="14" spans="3:36" ht="15" thickBot="1" x14ac:dyDescent="0.35">
      <c r="E14" s="462" t="s">
        <v>26</v>
      </c>
      <c r="F14" s="463">
        <f>SUM(F12:F13)</f>
        <v>230000</v>
      </c>
      <c r="K14" s="739">
        <f>+SUM(K12:K13)</f>
        <v>20000</v>
      </c>
      <c r="L14" s="738">
        <f t="shared" ref="L14:V14" si="14">+SUM(L12:L13)</f>
        <v>20000</v>
      </c>
      <c r="M14" s="738">
        <f t="shared" si="14"/>
        <v>20000</v>
      </c>
      <c r="N14" s="738">
        <f t="shared" si="14"/>
        <v>20000</v>
      </c>
      <c r="O14" s="738">
        <f t="shared" si="14"/>
        <v>52500</v>
      </c>
      <c r="P14" s="738">
        <f t="shared" si="14"/>
        <v>32500</v>
      </c>
      <c r="Q14" s="738">
        <f t="shared" si="14"/>
        <v>0</v>
      </c>
      <c r="R14" s="738">
        <f t="shared" si="14"/>
        <v>0</v>
      </c>
      <c r="S14" s="738">
        <f t="shared" si="14"/>
        <v>0</v>
      </c>
      <c r="T14" s="738">
        <f t="shared" si="14"/>
        <v>0</v>
      </c>
      <c r="U14" s="738">
        <f t="shared" si="14"/>
        <v>0</v>
      </c>
      <c r="V14" s="853">
        <f t="shared" si="14"/>
        <v>0</v>
      </c>
      <c r="W14" s="739">
        <f>+SUM(W12:W13)</f>
        <v>0</v>
      </c>
      <c r="X14" s="738">
        <f t="shared" ref="X14" si="15">+SUM(X12:X13)</f>
        <v>0</v>
      </c>
      <c r="Y14" s="738">
        <f t="shared" ref="Y14" si="16">+SUM(Y12:Y13)</f>
        <v>0</v>
      </c>
      <c r="Z14" s="738">
        <f t="shared" ref="Z14" si="17">+SUM(Z12:Z13)</f>
        <v>0</v>
      </c>
      <c r="AA14" s="738">
        <f t="shared" ref="AA14" si="18">+SUM(AA12:AA13)</f>
        <v>32500</v>
      </c>
      <c r="AB14" s="738">
        <f t="shared" ref="AB14" si="19">+SUM(AB12:AB13)</f>
        <v>32500</v>
      </c>
      <c r="AC14" s="738">
        <f t="shared" ref="AC14" si="20">+SUM(AC12:AC13)</f>
        <v>0</v>
      </c>
      <c r="AD14" s="738">
        <f t="shared" ref="AD14" si="21">+SUM(AD12:AD13)</f>
        <v>0</v>
      </c>
      <c r="AE14" s="738">
        <f t="shared" ref="AE14" si="22">+SUM(AE12:AE13)</f>
        <v>0</v>
      </c>
      <c r="AF14" s="738">
        <f t="shared" ref="AF14" si="23">+SUM(AF12:AF13)</f>
        <v>0</v>
      </c>
      <c r="AG14" s="738">
        <f t="shared" ref="AG14" si="24">+SUM(AG12:AG13)</f>
        <v>0</v>
      </c>
      <c r="AH14" s="853">
        <f t="shared" ref="AH14" si="25">+SUM(AH12:AH13)</f>
        <v>0</v>
      </c>
      <c r="AI14" s="861"/>
    </row>
    <row r="15" spans="3:36" ht="15" thickBot="1" x14ac:dyDescent="0.35">
      <c r="E15" s="857"/>
      <c r="F15" s="858"/>
      <c r="G15" s="491"/>
      <c r="K15" s="971">
        <f>+SUM(K14:V14)</f>
        <v>165000</v>
      </c>
      <c r="L15" s="972"/>
      <c r="M15" s="972"/>
      <c r="N15" s="972"/>
      <c r="O15" s="972"/>
      <c r="P15" s="972"/>
      <c r="Q15" s="972"/>
      <c r="R15" s="972"/>
      <c r="S15" s="972"/>
      <c r="T15" s="972"/>
      <c r="U15" s="972"/>
      <c r="V15" s="973"/>
      <c r="W15" s="971">
        <f>+SUM(W14:AH14)</f>
        <v>65000</v>
      </c>
      <c r="X15" s="972"/>
      <c r="Y15" s="972"/>
      <c r="Z15" s="972"/>
      <c r="AA15" s="972"/>
      <c r="AB15" s="972"/>
      <c r="AC15" s="972"/>
      <c r="AD15" s="972"/>
      <c r="AE15" s="972"/>
      <c r="AF15" s="972"/>
      <c r="AG15" s="972"/>
      <c r="AH15" s="973"/>
      <c r="AI15" s="860" t="str">
        <f>IF(SUM(K15:AH15)=F14,"Si","No")</f>
        <v>Si</v>
      </c>
      <c r="AJ15" s="864">
        <f>+SUM(K15:AH15)</f>
        <v>230000</v>
      </c>
    </row>
    <row r="16" spans="3:36" x14ac:dyDescent="0.3">
      <c r="C16" s="958" t="s">
        <v>27</v>
      </c>
      <c r="D16" s="959"/>
      <c r="E16" s="417" t="s">
        <v>1</v>
      </c>
      <c r="F16" s="417" t="s">
        <v>2</v>
      </c>
      <c r="G16" s="418" t="s">
        <v>3</v>
      </c>
      <c r="K16" s="946"/>
      <c r="L16" s="947"/>
      <c r="M16" s="947"/>
      <c r="N16" s="947"/>
      <c r="O16" s="947"/>
      <c r="P16" s="947"/>
      <c r="Q16" s="947"/>
      <c r="R16" s="947"/>
      <c r="S16" s="947"/>
      <c r="T16" s="947"/>
      <c r="U16" s="947"/>
      <c r="V16" s="948"/>
      <c r="W16" s="946"/>
      <c r="X16" s="947"/>
      <c r="Y16" s="947"/>
      <c r="Z16" s="947"/>
      <c r="AA16" s="947"/>
      <c r="AB16" s="947"/>
      <c r="AC16" s="947"/>
      <c r="AD16" s="947"/>
      <c r="AE16" s="947"/>
      <c r="AF16" s="947"/>
      <c r="AG16" s="947"/>
      <c r="AH16" s="948"/>
      <c r="AI16" s="861"/>
    </row>
    <row r="17" spans="3:36" ht="29.4" thickBot="1" x14ac:dyDescent="0.35">
      <c r="C17" s="966" t="s">
        <v>33</v>
      </c>
      <c r="D17" s="967"/>
      <c r="E17" s="19" t="s">
        <v>34</v>
      </c>
      <c r="F17" s="55">
        <v>45663</v>
      </c>
      <c r="G17" s="395">
        <v>46234</v>
      </c>
      <c r="K17" s="949"/>
      <c r="L17" s="950"/>
      <c r="M17" s="950"/>
      <c r="N17" s="950"/>
      <c r="O17" s="950"/>
      <c r="P17" s="950"/>
      <c r="Q17" s="950"/>
      <c r="R17" s="950"/>
      <c r="S17" s="950"/>
      <c r="T17" s="950"/>
      <c r="U17" s="950"/>
      <c r="V17" s="951"/>
      <c r="W17" s="949"/>
      <c r="X17" s="950"/>
      <c r="Y17" s="950"/>
      <c r="Z17" s="950"/>
      <c r="AA17" s="950"/>
      <c r="AB17" s="950"/>
      <c r="AC17" s="950"/>
      <c r="AD17" s="950"/>
      <c r="AE17" s="950"/>
      <c r="AF17" s="950"/>
      <c r="AG17" s="950"/>
      <c r="AH17" s="951"/>
      <c r="AI17" s="861"/>
    </row>
    <row r="18" spans="3:36" ht="29.4" hidden="1" thickBot="1" x14ac:dyDescent="0.35">
      <c r="C18" s="954" t="s">
        <v>35</v>
      </c>
      <c r="D18" s="955"/>
      <c r="E18" s="2" t="s">
        <v>36</v>
      </c>
      <c r="F18" s="42">
        <v>45992</v>
      </c>
      <c r="G18" s="396">
        <v>46096</v>
      </c>
      <c r="K18" s="946"/>
      <c r="L18" s="947"/>
      <c r="M18" s="947"/>
      <c r="N18" s="947"/>
      <c r="O18" s="947"/>
      <c r="P18" s="947"/>
      <c r="Q18" s="947"/>
      <c r="R18" s="947"/>
      <c r="S18" s="947"/>
      <c r="T18" s="947"/>
      <c r="U18" s="947"/>
      <c r="V18" s="948"/>
      <c r="W18" s="946"/>
      <c r="X18" s="947"/>
      <c r="Y18" s="947"/>
      <c r="Z18" s="947"/>
      <c r="AA18" s="947"/>
      <c r="AB18" s="947"/>
      <c r="AC18" s="947"/>
      <c r="AD18" s="947"/>
      <c r="AE18" s="947"/>
      <c r="AF18" s="947"/>
      <c r="AG18" s="947"/>
      <c r="AH18" s="948"/>
      <c r="AI18" s="861"/>
    </row>
    <row r="19" spans="3:36" ht="29.4" hidden="1" thickBot="1" x14ac:dyDescent="0.35">
      <c r="C19" s="962" t="s">
        <v>37</v>
      </c>
      <c r="D19" s="963"/>
      <c r="E19" s="357" t="s">
        <v>38</v>
      </c>
      <c r="F19" s="140">
        <v>46028</v>
      </c>
      <c r="G19" s="444">
        <v>46234</v>
      </c>
      <c r="K19" s="723"/>
      <c r="L19" s="146"/>
      <c r="M19" s="146"/>
      <c r="N19" s="146"/>
      <c r="O19" s="146"/>
      <c r="P19" s="146"/>
      <c r="Q19" s="146"/>
      <c r="R19" s="146"/>
      <c r="S19" s="146"/>
      <c r="T19" s="146"/>
      <c r="U19" s="146"/>
      <c r="V19" s="724"/>
      <c r="W19" s="849"/>
      <c r="X19" s="146"/>
      <c r="Y19" s="146"/>
      <c r="Z19" s="146"/>
      <c r="AA19" s="146"/>
      <c r="AB19" s="146"/>
      <c r="AC19" s="146"/>
      <c r="AD19" s="146"/>
      <c r="AE19" s="146"/>
      <c r="AF19" s="146"/>
      <c r="AG19" s="146"/>
      <c r="AH19" s="724"/>
      <c r="AI19" s="861"/>
    </row>
    <row r="20" spans="3:36" x14ac:dyDescent="0.3">
      <c r="C20" s="416" t="s">
        <v>0</v>
      </c>
      <c r="D20" s="417" t="s">
        <v>6</v>
      </c>
      <c r="E20" s="417" t="s">
        <v>7</v>
      </c>
      <c r="F20" s="417" t="s">
        <v>8</v>
      </c>
      <c r="G20" s="417" t="s">
        <v>9</v>
      </c>
      <c r="H20" s="418" t="s">
        <v>10</v>
      </c>
      <c r="K20" s="946"/>
      <c r="L20" s="947"/>
      <c r="M20" s="947"/>
      <c r="N20" s="947"/>
      <c r="O20" s="947"/>
      <c r="P20" s="947"/>
      <c r="Q20" s="947"/>
      <c r="R20" s="947"/>
      <c r="S20" s="947"/>
      <c r="T20" s="947"/>
      <c r="U20" s="947"/>
      <c r="V20" s="948"/>
      <c r="W20" s="946"/>
      <c r="X20" s="947"/>
      <c r="Y20" s="947"/>
      <c r="Z20" s="947"/>
      <c r="AA20" s="947"/>
      <c r="AB20" s="947"/>
      <c r="AC20" s="947"/>
      <c r="AD20" s="947"/>
      <c r="AE20" s="947"/>
      <c r="AF20" s="947"/>
      <c r="AG20" s="947"/>
      <c r="AH20" s="948"/>
      <c r="AI20" s="861"/>
    </row>
    <row r="21" spans="3:36" ht="28.8" x14ac:dyDescent="0.3">
      <c r="C21" s="407" t="s">
        <v>39</v>
      </c>
      <c r="D21" s="435" t="s">
        <v>40</v>
      </c>
      <c r="E21" s="405" t="s">
        <v>41</v>
      </c>
      <c r="F21" s="406">
        <v>1000000</v>
      </c>
      <c r="G21" s="436">
        <v>46252</v>
      </c>
      <c r="H21" s="421">
        <v>46617</v>
      </c>
      <c r="I21" s="358"/>
      <c r="J21" s="415"/>
      <c r="K21" s="723"/>
      <c r="L21" s="146"/>
      <c r="M21" s="146"/>
      <c r="N21" s="146"/>
      <c r="O21" s="146"/>
      <c r="P21" s="146"/>
      <c r="Q21" s="146"/>
      <c r="R21" s="591">
        <v>200000</v>
      </c>
      <c r="S21" s="591">
        <v>0</v>
      </c>
      <c r="T21" s="591">
        <v>0</v>
      </c>
      <c r="U21" s="591">
        <v>0</v>
      </c>
      <c r="V21" s="598">
        <v>0</v>
      </c>
      <c r="W21" s="850">
        <v>0</v>
      </c>
      <c r="X21" s="717">
        <v>500000</v>
      </c>
      <c r="Y21" s="591">
        <v>0</v>
      </c>
      <c r="Z21" s="591">
        <v>0</v>
      </c>
      <c r="AA21" s="591">
        <v>0</v>
      </c>
      <c r="AB21" s="591">
        <v>0</v>
      </c>
      <c r="AC21" s="591">
        <v>0</v>
      </c>
      <c r="AD21" s="717">
        <v>300000</v>
      </c>
      <c r="AE21" s="146"/>
      <c r="AF21" s="146"/>
      <c r="AG21" s="146"/>
      <c r="AH21" s="724"/>
      <c r="AI21" s="860" t="str">
        <f>IF(SUM(K21:AH21)=F21,"Si","No")</f>
        <v>Si</v>
      </c>
      <c r="AJ21" s="862">
        <f t="shared" ref="AJ21:AJ23" si="26">+SUM(K21:AH21)</f>
        <v>1000000</v>
      </c>
    </row>
    <row r="22" spans="3:36" ht="28.8" x14ac:dyDescent="0.3">
      <c r="C22" s="407" t="s">
        <v>39</v>
      </c>
      <c r="D22" s="435" t="s">
        <v>40</v>
      </c>
      <c r="E22" s="405" t="s">
        <v>42</v>
      </c>
      <c r="F22" s="406">
        <v>1200000</v>
      </c>
      <c r="G22" s="436">
        <v>46081</v>
      </c>
      <c r="H22" s="421" t="s">
        <v>1483</v>
      </c>
      <c r="I22" s="358"/>
      <c r="J22" s="415"/>
      <c r="K22" s="846"/>
      <c r="L22" s="591">
        <v>400000</v>
      </c>
      <c r="M22" s="591">
        <v>400000</v>
      </c>
      <c r="N22" s="591">
        <v>400000</v>
      </c>
      <c r="O22" s="146"/>
      <c r="P22" s="146"/>
      <c r="Q22" s="146"/>
      <c r="R22" s="146"/>
      <c r="S22" s="146"/>
      <c r="T22" s="146"/>
      <c r="U22" s="146"/>
      <c r="V22" s="724"/>
      <c r="W22" s="849"/>
      <c r="X22" s="146"/>
      <c r="Y22" s="146"/>
      <c r="Z22" s="146"/>
      <c r="AA22" s="146"/>
      <c r="AB22" s="146"/>
      <c r="AC22" s="146"/>
      <c r="AD22" s="146"/>
      <c r="AE22" s="146"/>
      <c r="AF22" s="146"/>
      <c r="AG22" s="146"/>
      <c r="AH22" s="724"/>
      <c r="AI22" s="860" t="str">
        <f>IF(SUM(K22:AH22)=F22,"Si","No")</f>
        <v>Si</v>
      </c>
      <c r="AJ22" s="862">
        <f t="shared" si="26"/>
        <v>1200000</v>
      </c>
    </row>
    <row r="23" spans="3:36" ht="42" customHeight="1" thickBot="1" x14ac:dyDescent="0.35">
      <c r="C23" s="398" t="s">
        <v>43</v>
      </c>
      <c r="D23" s="583" t="s">
        <v>24</v>
      </c>
      <c r="E23" s="734" t="s">
        <v>44</v>
      </c>
      <c r="F23" s="410">
        <v>33333.33</v>
      </c>
      <c r="G23" s="448">
        <v>46076</v>
      </c>
      <c r="H23" s="402">
        <v>46256</v>
      </c>
      <c r="I23" s="358"/>
      <c r="J23" s="415"/>
      <c r="K23" s="723"/>
      <c r="L23" s="591">
        <v>6666.6660000000011</v>
      </c>
      <c r="M23" s="591">
        <v>0</v>
      </c>
      <c r="N23" s="591">
        <v>0</v>
      </c>
      <c r="O23" s="591">
        <v>16666.665000000001</v>
      </c>
      <c r="P23" s="591">
        <v>0</v>
      </c>
      <c r="Q23" s="591">
        <v>0</v>
      </c>
      <c r="R23" s="591">
        <v>9999.9989999999998</v>
      </c>
      <c r="S23" s="146"/>
      <c r="T23" s="146"/>
      <c r="U23" s="146"/>
      <c r="V23" s="724"/>
      <c r="W23" s="849"/>
      <c r="X23" s="146"/>
      <c r="Y23" s="146"/>
      <c r="Z23" s="146"/>
      <c r="AA23" s="146"/>
      <c r="AB23" s="146"/>
      <c r="AC23" s="146"/>
      <c r="AD23" s="146"/>
      <c r="AE23" s="146"/>
      <c r="AF23" s="146"/>
      <c r="AG23" s="146"/>
      <c r="AH23" s="724"/>
      <c r="AI23" s="860" t="str">
        <f>IF(SUM(K23:AH23)=F23,"Si","No")</f>
        <v>Si</v>
      </c>
      <c r="AJ23" s="862">
        <f t="shared" si="26"/>
        <v>33333.33</v>
      </c>
    </row>
    <row r="24" spans="3:36" ht="15" thickBot="1" x14ac:dyDescent="0.35">
      <c r="E24" s="462" t="s">
        <v>26</v>
      </c>
      <c r="F24" s="463">
        <f>SUM(F21:F23)</f>
        <v>2233333.33</v>
      </c>
      <c r="K24" s="739">
        <f>+SUM(K21:K23)</f>
        <v>0</v>
      </c>
      <c r="L24" s="738">
        <f t="shared" ref="L24:V24" si="27">+SUM(L21:L23)</f>
        <v>406666.66600000003</v>
      </c>
      <c r="M24" s="738">
        <f t="shared" si="27"/>
        <v>400000</v>
      </c>
      <c r="N24" s="738">
        <f t="shared" si="27"/>
        <v>400000</v>
      </c>
      <c r="O24" s="738">
        <f t="shared" si="27"/>
        <v>16666.665000000001</v>
      </c>
      <c r="P24" s="738">
        <f t="shared" si="27"/>
        <v>0</v>
      </c>
      <c r="Q24" s="738">
        <f t="shared" si="27"/>
        <v>0</v>
      </c>
      <c r="R24" s="738">
        <f t="shared" si="27"/>
        <v>209999.99900000001</v>
      </c>
      <c r="S24" s="738">
        <f t="shared" si="27"/>
        <v>0</v>
      </c>
      <c r="T24" s="738">
        <f t="shared" si="27"/>
        <v>0</v>
      </c>
      <c r="U24" s="738">
        <f t="shared" si="27"/>
        <v>0</v>
      </c>
      <c r="V24" s="853">
        <f t="shared" si="27"/>
        <v>0</v>
      </c>
      <c r="W24" s="739">
        <f>+SUM(W21:W23)</f>
        <v>0</v>
      </c>
      <c r="X24" s="738">
        <f t="shared" ref="X24" si="28">+SUM(X21:X23)</f>
        <v>500000</v>
      </c>
      <c r="Y24" s="738">
        <f t="shared" ref="Y24" si="29">+SUM(Y21:Y23)</f>
        <v>0</v>
      </c>
      <c r="Z24" s="738">
        <f t="shared" ref="Z24" si="30">+SUM(Z21:Z23)</f>
        <v>0</v>
      </c>
      <c r="AA24" s="738">
        <f t="shared" ref="AA24" si="31">+SUM(AA21:AA23)</f>
        <v>0</v>
      </c>
      <c r="AB24" s="738">
        <f t="shared" ref="AB24" si="32">+SUM(AB21:AB23)</f>
        <v>0</v>
      </c>
      <c r="AC24" s="738">
        <f t="shared" ref="AC24" si="33">+SUM(AC21:AC23)</f>
        <v>0</v>
      </c>
      <c r="AD24" s="738">
        <f t="shared" ref="AD24" si="34">+SUM(AD21:AD23)</f>
        <v>300000</v>
      </c>
      <c r="AE24" s="738">
        <f t="shared" ref="AE24" si="35">+SUM(AE21:AE23)</f>
        <v>0</v>
      </c>
      <c r="AF24" s="738">
        <f t="shared" ref="AF24" si="36">+SUM(AF21:AF23)</f>
        <v>0</v>
      </c>
      <c r="AG24" s="738">
        <f t="shared" ref="AG24" si="37">+SUM(AG21:AG23)</f>
        <v>0</v>
      </c>
      <c r="AH24" s="853">
        <f t="shared" ref="AH24" si="38">+SUM(AH21:AH23)</f>
        <v>0</v>
      </c>
      <c r="AI24" s="861"/>
    </row>
    <row r="25" spans="3:36" ht="15" thickBot="1" x14ac:dyDescent="0.35">
      <c r="E25" s="857"/>
      <c r="F25" s="858"/>
      <c r="G25" s="859"/>
      <c r="K25" s="971">
        <f>+SUM(K24:V24)</f>
        <v>1433333.33</v>
      </c>
      <c r="L25" s="972"/>
      <c r="M25" s="972"/>
      <c r="N25" s="972"/>
      <c r="O25" s="972"/>
      <c r="P25" s="972"/>
      <c r="Q25" s="972"/>
      <c r="R25" s="972"/>
      <c r="S25" s="972"/>
      <c r="T25" s="972"/>
      <c r="U25" s="972"/>
      <c r="V25" s="973"/>
      <c r="W25" s="971">
        <f>+SUM(W24:AH24)</f>
        <v>800000</v>
      </c>
      <c r="X25" s="972"/>
      <c r="Y25" s="972"/>
      <c r="Z25" s="972"/>
      <c r="AA25" s="972"/>
      <c r="AB25" s="972"/>
      <c r="AC25" s="972"/>
      <c r="AD25" s="972"/>
      <c r="AE25" s="972"/>
      <c r="AF25" s="972"/>
      <c r="AG25" s="972"/>
      <c r="AH25" s="973"/>
      <c r="AI25" s="860" t="str">
        <f>IF(SUM(K25:AH25)=F24,"Si","No")</f>
        <v>Si</v>
      </c>
      <c r="AJ25" s="864">
        <f>+SUM(K25:AH25)</f>
        <v>2233333.33</v>
      </c>
    </row>
    <row r="26" spans="3:36" x14ac:dyDescent="0.3">
      <c r="C26" s="958" t="s">
        <v>27</v>
      </c>
      <c r="D26" s="959"/>
      <c r="E26" s="417" t="s">
        <v>1</v>
      </c>
      <c r="F26" s="417" t="s">
        <v>2</v>
      </c>
      <c r="G26" s="418" t="s">
        <v>3</v>
      </c>
      <c r="K26" s="946"/>
      <c r="L26" s="947"/>
      <c r="M26" s="947"/>
      <c r="N26" s="947"/>
      <c r="O26" s="947"/>
      <c r="P26" s="947"/>
      <c r="Q26" s="947"/>
      <c r="R26" s="947"/>
      <c r="S26" s="947"/>
      <c r="T26" s="947"/>
      <c r="U26" s="947"/>
      <c r="V26" s="948"/>
      <c r="W26" s="946"/>
      <c r="X26" s="947"/>
      <c r="Y26" s="947"/>
      <c r="Z26" s="947"/>
      <c r="AA26" s="947"/>
      <c r="AB26" s="947"/>
      <c r="AC26" s="947"/>
      <c r="AD26" s="947"/>
      <c r="AE26" s="947"/>
      <c r="AF26" s="947"/>
      <c r="AG26" s="947"/>
      <c r="AH26" s="948"/>
      <c r="AI26" s="861"/>
    </row>
    <row r="27" spans="3:36" ht="58.2" thickBot="1" x14ac:dyDescent="0.35">
      <c r="C27" s="964" t="s">
        <v>45</v>
      </c>
      <c r="D27" s="965"/>
      <c r="E27" s="438" t="s">
        <v>46</v>
      </c>
      <c r="F27" s="439">
        <v>46027</v>
      </c>
      <c r="G27" s="441">
        <v>46645</v>
      </c>
      <c r="K27" s="949"/>
      <c r="L27" s="950"/>
      <c r="M27" s="950"/>
      <c r="N27" s="950"/>
      <c r="O27" s="950"/>
      <c r="P27" s="950"/>
      <c r="Q27" s="950"/>
      <c r="R27" s="950"/>
      <c r="S27" s="950"/>
      <c r="T27" s="950"/>
      <c r="U27" s="950"/>
      <c r="V27" s="951"/>
      <c r="W27" s="949"/>
      <c r="X27" s="950"/>
      <c r="Y27" s="950"/>
      <c r="Z27" s="950"/>
      <c r="AA27" s="950"/>
      <c r="AB27" s="950"/>
      <c r="AC27" s="950"/>
      <c r="AD27" s="950"/>
      <c r="AE27" s="950"/>
      <c r="AF27" s="950"/>
      <c r="AG27" s="950"/>
      <c r="AH27" s="951"/>
      <c r="AI27" s="861"/>
    </row>
    <row r="28" spans="3:36" x14ac:dyDescent="0.3">
      <c r="C28" s="416" t="s">
        <v>0</v>
      </c>
      <c r="D28" s="417" t="s">
        <v>6</v>
      </c>
      <c r="E28" s="417" t="s">
        <v>7</v>
      </c>
      <c r="F28" s="417" t="s">
        <v>8</v>
      </c>
      <c r="G28" s="417" t="s">
        <v>9</v>
      </c>
      <c r="H28" s="418" t="s">
        <v>10</v>
      </c>
      <c r="K28" s="946"/>
      <c r="L28" s="947"/>
      <c r="M28" s="947"/>
      <c r="N28" s="947"/>
      <c r="O28" s="947"/>
      <c r="P28" s="947"/>
      <c r="Q28" s="947"/>
      <c r="R28" s="947"/>
      <c r="S28" s="947"/>
      <c r="T28" s="947"/>
      <c r="U28" s="947"/>
      <c r="V28" s="948"/>
      <c r="W28" s="946"/>
      <c r="X28" s="947"/>
      <c r="Y28" s="947"/>
      <c r="Z28" s="947"/>
      <c r="AA28" s="947"/>
      <c r="AB28" s="947"/>
      <c r="AC28" s="947"/>
      <c r="AD28" s="947"/>
      <c r="AE28" s="947"/>
      <c r="AF28" s="947"/>
      <c r="AG28" s="947"/>
      <c r="AH28" s="948"/>
      <c r="AI28" s="861"/>
    </row>
    <row r="29" spans="3:36" ht="28.8" x14ac:dyDescent="0.3">
      <c r="C29" s="407" t="s">
        <v>1386</v>
      </c>
      <c r="D29" s="435" t="s">
        <v>24</v>
      </c>
      <c r="E29" s="405" t="s">
        <v>47</v>
      </c>
      <c r="F29" s="406">
        <v>41666.67</v>
      </c>
      <c r="G29" s="436">
        <v>46108</v>
      </c>
      <c r="H29" s="421">
        <v>46473</v>
      </c>
      <c r="I29" s="358"/>
      <c r="J29" s="415"/>
      <c r="K29" s="723"/>
      <c r="L29" s="146"/>
      <c r="M29" s="591">
        <v>8333.3340000000007</v>
      </c>
      <c r="N29" s="591">
        <v>0</v>
      </c>
      <c r="O29" s="591">
        <v>0</v>
      </c>
      <c r="P29" s="591">
        <v>0</v>
      </c>
      <c r="Q29" s="591">
        <v>0</v>
      </c>
      <c r="R29" s="591">
        <v>16666.668000000001</v>
      </c>
      <c r="S29" s="591">
        <v>0</v>
      </c>
      <c r="T29" s="591">
        <v>0</v>
      </c>
      <c r="U29" s="591">
        <v>0</v>
      </c>
      <c r="V29" s="598">
        <v>0</v>
      </c>
      <c r="W29" s="850">
        <v>0</v>
      </c>
      <c r="X29" s="591">
        <v>0</v>
      </c>
      <c r="Y29" s="591">
        <v>16666.668000000001</v>
      </c>
      <c r="Z29" s="146"/>
      <c r="AA29" s="146"/>
      <c r="AB29" s="146"/>
      <c r="AC29" s="146"/>
      <c r="AD29" s="146"/>
      <c r="AE29" s="146"/>
      <c r="AF29" s="146"/>
      <c r="AG29" s="146"/>
      <c r="AH29" s="724"/>
      <c r="AI29" s="860" t="str">
        <f>IF(SUM(K29:AH29)=F29,"Si","No")</f>
        <v>Si</v>
      </c>
      <c r="AJ29" s="862">
        <f t="shared" ref="AJ29:AJ31" si="39">+SUM(K29:AH29)</f>
        <v>41666.67</v>
      </c>
    </row>
    <row r="30" spans="3:36" x14ac:dyDescent="0.3">
      <c r="C30" s="407" t="s">
        <v>45</v>
      </c>
      <c r="D30" s="435" t="s">
        <v>24</v>
      </c>
      <c r="E30" s="405" t="s">
        <v>48</v>
      </c>
      <c r="F30" s="406">
        <v>25000</v>
      </c>
      <c r="G30" s="436">
        <v>46446</v>
      </c>
      <c r="H30" s="421">
        <v>46566</v>
      </c>
      <c r="I30" s="573"/>
      <c r="J30" s="415"/>
      <c r="K30" s="723"/>
      <c r="L30" s="146"/>
      <c r="M30" s="146"/>
      <c r="N30" s="146"/>
      <c r="O30" s="146"/>
      <c r="P30" s="146"/>
      <c r="Q30" s="710"/>
      <c r="R30" s="710"/>
      <c r="S30" s="710"/>
      <c r="T30" s="710"/>
      <c r="U30" s="710"/>
      <c r="V30" s="712"/>
      <c r="W30" s="847"/>
      <c r="X30" s="591">
        <v>5000</v>
      </c>
      <c r="Y30" s="591">
        <v>0</v>
      </c>
      <c r="Z30" s="591">
        <v>12500</v>
      </c>
      <c r="AA30" s="591">
        <v>0</v>
      </c>
      <c r="AB30" s="591">
        <v>7500</v>
      </c>
      <c r="AC30" s="710"/>
      <c r="AD30" s="710"/>
      <c r="AE30" s="710"/>
      <c r="AF30" s="146"/>
      <c r="AG30" s="146"/>
      <c r="AH30" s="724"/>
      <c r="AI30" s="860" t="str">
        <f>IF(SUM(K30:AH30)=F30,"Si","No")</f>
        <v>Si</v>
      </c>
      <c r="AJ30" s="862">
        <f t="shared" si="39"/>
        <v>25000</v>
      </c>
    </row>
    <row r="31" spans="3:36" ht="55.5" customHeight="1" thickBot="1" x14ac:dyDescent="0.35">
      <c r="C31" s="398" t="s">
        <v>45</v>
      </c>
      <c r="D31" s="401" t="s">
        <v>24</v>
      </c>
      <c r="E31" s="404" t="s">
        <v>49</v>
      </c>
      <c r="F31" s="408">
        <v>10000</v>
      </c>
      <c r="G31" s="448">
        <v>46102</v>
      </c>
      <c r="H31" s="402">
        <v>46282</v>
      </c>
      <c r="I31" s="573"/>
      <c r="J31" s="415"/>
      <c r="K31" s="723"/>
      <c r="L31" s="146"/>
      <c r="M31" s="591">
        <v>2000</v>
      </c>
      <c r="N31" s="591">
        <v>0</v>
      </c>
      <c r="O31" s="591">
        <v>0</v>
      </c>
      <c r="P31" s="591">
        <v>5000</v>
      </c>
      <c r="Q31" s="591">
        <v>0</v>
      </c>
      <c r="R31" s="591">
        <v>0</v>
      </c>
      <c r="S31" s="591">
        <v>3000</v>
      </c>
      <c r="T31" s="146"/>
      <c r="U31" s="146"/>
      <c r="V31" s="724"/>
      <c r="W31" s="849"/>
      <c r="X31" s="146"/>
      <c r="Y31" s="146"/>
      <c r="Z31" s="146"/>
      <c r="AA31" s="146"/>
      <c r="AB31" s="146"/>
      <c r="AC31" s="146"/>
      <c r="AD31" s="146"/>
      <c r="AE31" s="146"/>
      <c r="AF31" s="146"/>
      <c r="AG31" s="146"/>
      <c r="AH31" s="724"/>
      <c r="AI31" s="860" t="str">
        <f>IF(SUM(K31:AH31)=F31,"Si","No")</f>
        <v>Si</v>
      </c>
      <c r="AJ31" s="862">
        <f t="shared" si="39"/>
        <v>10000</v>
      </c>
    </row>
    <row r="32" spans="3:36" ht="15" thickBot="1" x14ac:dyDescent="0.35">
      <c r="E32" s="462" t="s">
        <v>26</v>
      </c>
      <c r="F32" s="463">
        <f>SUM(F29:F31)</f>
        <v>76666.67</v>
      </c>
      <c r="K32" s="739">
        <f>+SUM(K29:K31)</f>
        <v>0</v>
      </c>
      <c r="L32" s="738">
        <f t="shared" ref="L32:U32" si="40">+SUM(L29:L31)</f>
        <v>0</v>
      </c>
      <c r="M32" s="738">
        <f t="shared" si="40"/>
        <v>10333.334000000001</v>
      </c>
      <c r="N32" s="738">
        <f t="shared" si="40"/>
        <v>0</v>
      </c>
      <c r="O32" s="738">
        <f t="shared" si="40"/>
        <v>0</v>
      </c>
      <c r="P32" s="738">
        <f t="shared" si="40"/>
        <v>5000</v>
      </c>
      <c r="Q32" s="738">
        <f t="shared" si="40"/>
        <v>0</v>
      </c>
      <c r="R32" s="738">
        <f t="shared" si="40"/>
        <v>16666.668000000001</v>
      </c>
      <c r="S32" s="738">
        <f t="shared" si="40"/>
        <v>3000</v>
      </c>
      <c r="T32" s="738">
        <f t="shared" si="40"/>
        <v>0</v>
      </c>
      <c r="U32" s="738">
        <f t="shared" si="40"/>
        <v>0</v>
      </c>
      <c r="V32" s="853">
        <f>+SUM(V29:V31)</f>
        <v>0</v>
      </c>
      <c r="W32" s="739">
        <f>+SUM(W29:W31)</f>
        <v>0</v>
      </c>
      <c r="X32" s="738">
        <f t="shared" ref="X32" si="41">+SUM(X29:X31)</f>
        <v>5000</v>
      </c>
      <c r="Y32" s="738">
        <f t="shared" ref="Y32" si="42">+SUM(Y29:Y31)</f>
        <v>16666.668000000001</v>
      </c>
      <c r="Z32" s="738">
        <f t="shared" ref="Z32" si="43">+SUM(Z29:Z31)</f>
        <v>12500</v>
      </c>
      <c r="AA32" s="738">
        <f t="shared" ref="AA32" si="44">+SUM(AA29:AA31)</f>
        <v>0</v>
      </c>
      <c r="AB32" s="738">
        <f t="shared" ref="AB32" si="45">+SUM(AB29:AB31)</f>
        <v>7500</v>
      </c>
      <c r="AC32" s="738">
        <f t="shared" ref="AC32" si="46">+SUM(AC29:AC31)</f>
        <v>0</v>
      </c>
      <c r="AD32" s="738">
        <f t="shared" ref="AD32" si="47">+SUM(AD29:AD31)</f>
        <v>0</v>
      </c>
      <c r="AE32" s="738">
        <f t="shared" ref="AE32" si="48">+SUM(AE29:AE31)</f>
        <v>0</v>
      </c>
      <c r="AF32" s="738">
        <f t="shared" ref="AF32" si="49">+SUM(AF29:AF31)</f>
        <v>0</v>
      </c>
      <c r="AG32" s="738">
        <f t="shared" ref="AG32" si="50">+SUM(AG29:AG31)</f>
        <v>0</v>
      </c>
      <c r="AH32" s="853">
        <f t="shared" ref="AH32" si="51">+SUM(AH29:AH31)</f>
        <v>0</v>
      </c>
      <c r="AI32" s="861"/>
    </row>
    <row r="33" spans="3:36" ht="15" thickBot="1" x14ac:dyDescent="0.35">
      <c r="E33" s="857"/>
      <c r="F33" s="858"/>
      <c r="G33" s="859"/>
      <c r="K33" s="971">
        <f>+SUM(K32:V32)</f>
        <v>35000.002</v>
      </c>
      <c r="L33" s="972"/>
      <c r="M33" s="972"/>
      <c r="N33" s="972"/>
      <c r="O33" s="972"/>
      <c r="P33" s="972"/>
      <c r="Q33" s="972"/>
      <c r="R33" s="972"/>
      <c r="S33" s="972"/>
      <c r="T33" s="972"/>
      <c r="U33" s="972"/>
      <c r="V33" s="973"/>
      <c r="W33" s="971">
        <f>+SUM(W32:AH32)</f>
        <v>41666.668000000005</v>
      </c>
      <c r="X33" s="972"/>
      <c r="Y33" s="972"/>
      <c r="Z33" s="972"/>
      <c r="AA33" s="972"/>
      <c r="AB33" s="972"/>
      <c r="AC33" s="972"/>
      <c r="AD33" s="972"/>
      <c r="AE33" s="972"/>
      <c r="AF33" s="972"/>
      <c r="AG33" s="972"/>
      <c r="AH33" s="973"/>
      <c r="AI33" s="860" t="str">
        <f>IF(SUM(K33:AH33)=F32,"Si","No")</f>
        <v>Si</v>
      </c>
      <c r="AJ33" s="864">
        <f>+SUM(K33:AH33)</f>
        <v>76666.670000000013</v>
      </c>
    </row>
    <row r="34" spans="3:36" x14ac:dyDescent="0.3">
      <c r="C34" s="958" t="s">
        <v>0</v>
      </c>
      <c r="D34" s="959"/>
      <c r="E34" s="417" t="s">
        <v>1</v>
      </c>
      <c r="F34" s="417" t="s">
        <v>2</v>
      </c>
      <c r="G34" s="418" t="s">
        <v>3</v>
      </c>
      <c r="K34" s="946"/>
      <c r="L34" s="947"/>
      <c r="M34" s="947"/>
      <c r="N34" s="947"/>
      <c r="O34" s="947"/>
      <c r="P34" s="947"/>
      <c r="Q34" s="947"/>
      <c r="R34" s="947"/>
      <c r="S34" s="947"/>
      <c r="T34" s="947"/>
      <c r="U34" s="947"/>
      <c r="V34" s="948"/>
      <c r="W34" s="946"/>
      <c r="X34" s="947"/>
      <c r="Y34" s="947"/>
      <c r="Z34" s="947"/>
      <c r="AA34" s="947"/>
      <c r="AB34" s="947"/>
      <c r="AC34" s="947"/>
      <c r="AD34" s="947"/>
      <c r="AE34" s="947"/>
      <c r="AF34" s="947"/>
      <c r="AG34" s="947"/>
      <c r="AH34" s="948"/>
      <c r="AI34" s="861"/>
    </row>
    <row r="35" spans="3:36" ht="15" thickBot="1" x14ac:dyDescent="0.35">
      <c r="C35" s="964" t="s">
        <v>50</v>
      </c>
      <c r="D35" s="965"/>
      <c r="E35" s="438" t="s">
        <v>51</v>
      </c>
      <c r="F35" s="439">
        <v>46024</v>
      </c>
      <c r="G35" s="441">
        <v>46386</v>
      </c>
      <c r="K35" s="949"/>
      <c r="L35" s="950"/>
      <c r="M35" s="950"/>
      <c r="N35" s="950"/>
      <c r="O35" s="950"/>
      <c r="P35" s="950"/>
      <c r="Q35" s="950"/>
      <c r="R35" s="950"/>
      <c r="S35" s="950"/>
      <c r="T35" s="950"/>
      <c r="U35" s="950"/>
      <c r="V35" s="951"/>
      <c r="W35" s="949"/>
      <c r="X35" s="950"/>
      <c r="Y35" s="950"/>
      <c r="Z35" s="950"/>
      <c r="AA35" s="950"/>
      <c r="AB35" s="950"/>
      <c r="AC35" s="950"/>
      <c r="AD35" s="950"/>
      <c r="AE35" s="950"/>
      <c r="AF35" s="950"/>
      <c r="AG35" s="950"/>
      <c r="AH35" s="951"/>
      <c r="AI35" s="861"/>
    </row>
    <row r="36" spans="3:36" x14ac:dyDescent="0.3">
      <c r="C36" s="416" t="s">
        <v>0</v>
      </c>
      <c r="D36" s="417" t="s">
        <v>6</v>
      </c>
      <c r="E36" s="417" t="s">
        <v>7</v>
      </c>
      <c r="F36" s="417" t="s">
        <v>8</v>
      </c>
      <c r="G36" s="417" t="s">
        <v>9</v>
      </c>
      <c r="H36" s="418" t="s">
        <v>10</v>
      </c>
      <c r="K36" s="946"/>
      <c r="L36" s="947"/>
      <c r="M36" s="947"/>
      <c r="N36" s="947"/>
      <c r="O36" s="947"/>
      <c r="P36" s="947"/>
      <c r="Q36" s="947"/>
      <c r="R36" s="947"/>
      <c r="S36" s="947"/>
      <c r="T36" s="947"/>
      <c r="U36" s="947"/>
      <c r="V36" s="948"/>
      <c r="W36" s="946"/>
      <c r="X36" s="947"/>
      <c r="Y36" s="947"/>
      <c r="Z36" s="947"/>
      <c r="AA36" s="947"/>
      <c r="AB36" s="947"/>
      <c r="AC36" s="947"/>
      <c r="AD36" s="947"/>
      <c r="AE36" s="947"/>
      <c r="AF36" s="947"/>
      <c r="AG36" s="947"/>
      <c r="AH36" s="948"/>
      <c r="AI36" s="861"/>
    </row>
    <row r="37" spans="3:36" ht="29.4" thickBot="1" x14ac:dyDescent="0.35">
      <c r="C37" s="426" t="s">
        <v>52</v>
      </c>
      <c r="D37" s="429" t="s">
        <v>53</v>
      </c>
      <c r="E37" s="427" t="s">
        <v>54</v>
      </c>
      <c r="F37" s="408">
        <v>25625.84</v>
      </c>
      <c r="G37" s="732">
        <v>46327</v>
      </c>
      <c r="H37" s="733">
        <v>46446</v>
      </c>
      <c r="I37" s="573"/>
      <c r="J37" s="415"/>
      <c r="K37" s="723"/>
      <c r="L37" s="146"/>
      <c r="M37" s="146"/>
      <c r="N37" s="146"/>
      <c r="O37" s="146"/>
      <c r="P37" s="146"/>
      <c r="Q37" s="146"/>
      <c r="R37" s="146"/>
      <c r="S37" s="146"/>
      <c r="T37" s="146"/>
      <c r="U37" s="591">
        <v>5125.1680000000006</v>
      </c>
      <c r="V37" s="598">
        <v>0</v>
      </c>
      <c r="W37" s="850">
        <v>12812.92</v>
      </c>
      <c r="X37" s="591">
        <v>7687.7519999999995</v>
      </c>
      <c r="Y37" s="146"/>
      <c r="Z37" s="146"/>
      <c r="AA37" s="146"/>
      <c r="AB37" s="146"/>
      <c r="AC37" s="146"/>
      <c r="AD37" s="146"/>
      <c r="AE37" s="146"/>
      <c r="AF37" s="146"/>
      <c r="AG37" s="146"/>
      <c r="AH37" s="724"/>
      <c r="AI37" s="860" t="str">
        <f>IF(SUM(K37:AH37)=F37,"Si","No")</f>
        <v>Si</v>
      </c>
      <c r="AJ37" s="862">
        <f t="shared" ref="AJ37" si="52">+SUM(K37:AH37)</f>
        <v>25625.84</v>
      </c>
    </row>
    <row r="38" spans="3:36" ht="15" thickBot="1" x14ac:dyDescent="0.35">
      <c r="E38" s="462" t="s">
        <v>26</v>
      </c>
      <c r="F38" s="463">
        <f>SUM(F37)</f>
        <v>25625.84</v>
      </c>
      <c r="K38" s="739">
        <f>+SUM(K37)</f>
        <v>0</v>
      </c>
      <c r="L38" s="738">
        <f t="shared" ref="L38:V38" si="53">+SUM(L37)</f>
        <v>0</v>
      </c>
      <c r="M38" s="738">
        <f t="shared" si="53"/>
        <v>0</v>
      </c>
      <c r="N38" s="738">
        <f t="shared" si="53"/>
        <v>0</v>
      </c>
      <c r="O38" s="738">
        <f t="shared" si="53"/>
        <v>0</v>
      </c>
      <c r="P38" s="738">
        <f t="shared" si="53"/>
        <v>0</v>
      </c>
      <c r="Q38" s="738">
        <f t="shared" si="53"/>
        <v>0</v>
      </c>
      <c r="R38" s="738">
        <f t="shared" si="53"/>
        <v>0</v>
      </c>
      <c r="S38" s="738">
        <f t="shared" si="53"/>
        <v>0</v>
      </c>
      <c r="T38" s="738">
        <f t="shared" si="53"/>
        <v>0</v>
      </c>
      <c r="U38" s="738">
        <f t="shared" si="53"/>
        <v>5125.1680000000006</v>
      </c>
      <c r="V38" s="853">
        <f t="shared" si="53"/>
        <v>0</v>
      </c>
      <c r="W38" s="739">
        <f>+SUM(W37)</f>
        <v>12812.92</v>
      </c>
      <c r="X38" s="738">
        <f t="shared" ref="X38" si="54">+SUM(X37)</f>
        <v>7687.7519999999995</v>
      </c>
      <c r="Y38" s="738">
        <f t="shared" ref="Y38" si="55">+SUM(Y37)</f>
        <v>0</v>
      </c>
      <c r="Z38" s="738">
        <f t="shared" ref="Z38" si="56">+SUM(Z37)</f>
        <v>0</v>
      </c>
      <c r="AA38" s="738">
        <f t="shared" ref="AA38" si="57">+SUM(AA37)</f>
        <v>0</v>
      </c>
      <c r="AB38" s="738">
        <f t="shared" ref="AB38" si="58">+SUM(AB37)</f>
        <v>0</v>
      </c>
      <c r="AC38" s="738">
        <f t="shared" ref="AC38" si="59">+SUM(AC37)</f>
        <v>0</v>
      </c>
      <c r="AD38" s="738">
        <f t="shared" ref="AD38" si="60">+SUM(AD37)</f>
        <v>0</v>
      </c>
      <c r="AE38" s="738">
        <f t="shared" ref="AE38" si="61">+SUM(AE37)</f>
        <v>0</v>
      </c>
      <c r="AF38" s="738">
        <f t="shared" ref="AF38" si="62">+SUM(AF37)</f>
        <v>0</v>
      </c>
      <c r="AG38" s="738">
        <f t="shared" ref="AG38" si="63">+SUM(AG37)</f>
        <v>0</v>
      </c>
      <c r="AH38" s="853">
        <f t="shared" ref="AH38" si="64">+SUM(AH37)</f>
        <v>0</v>
      </c>
      <c r="AI38" s="861"/>
    </row>
    <row r="39" spans="3:36" ht="15" thickBot="1" x14ac:dyDescent="0.35">
      <c r="E39" s="857"/>
      <c r="F39" s="858"/>
      <c r="G39" s="859"/>
      <c r="K39" s="971">
        <f>+SUM(K38:V38)</f>
        <v>5125.1680000000006</v>
      </c>
      <c r="L39" s="972"/>
      <c r="M39" s="972"/>
      <c r="N39" s="972"/>
      <c r="O39" s="972"/>
      <c r="P39" s="972"/>
      <c r="Q39" s="972"/>
      <c r="R39" s="972"/>
      <c r="S39" s="972"/>
      <c r="T39" s="972"/>
      <c r="U39" s="972"/>
      <c r="V39" s="973"/>
      <c r="W39" s="971">
        <f>+SUM(W38:AH38)</f>
        <v>20500.671999999999</v>
      </c>
      <c r="X39" s="972"/>
      <c r="Y39" s="972"/>
      <c r="Z39" s="972"/>
      <c r="AA39" s="972"/>
      <c r="AB39" s="972"/>
      <c r="AC39" s="972"/>
      <c r="AD39" s="972"/>
      <c r="AE39" s="972"/>
      <c r="AF39" s="972"/>
      <c r="AG39" s="972"/>
      <c r="AH39" s="973"/>
      <c r="AI39" s="860" t="str">
        <f>IF(SUM(K39:AH39)=F38,"Si","No")</f>
        <v>Si</v>
      </c>
      <c r="AJ39" s="864">
        <f>+SUM(K39:AH39)</f>
        <v>25625.84</v>
      </c>
    </row>
    <row r="40" spans="3:36" x14ac:dyDescent="0.3">
      <c r="C40" s="958" t="s">
        <v>0</v>
      </c>
      <c r="D40" s="959"/>
      <c r="E40" s="417" t="s">
        <v>1</v>
      </c>
      <c r="F40" s="417" t="s">
        <v>2</v>
      </c>
      <c r="G40" s="418" t="s">
        <v>3</v>
      </c>
      <c r="K40" s="946"/>
      <c r="L40" s="947"/>
      <c r="M40" s="947"/>
      <c r="N40" s="947"/>
      <c r="O40" s="947"/>
      <c r="P40" s="947"/>
      <c r="Q40" s="947"/>
      <c r="R40" s="947"/>
      <c r="S40" s="947"/>
      <c r="T40" s="947"/>
      <c r="U40" s="947"/>
      <c r="V40" s="948"/>
      <c r="W40" s="946"/>
      <c r="X40" s="947"/>
      <c r="Y40" s="947"/>
      <c r="Z40" s="947"/>
      <c r="AA40" s="947"/>
      <c r="AB40" s="947"/>
      <c r="AC40" s="947"/>
      <c r="AD40" s="947"/>
      <c r="AE40" s="947"/>
      <c r="AF40" s="947"/>
      <c r="AG40" s="947"/>
      <c r="AH40" s="948"/>
      <c r="AI40" s="861"/>
    </row>
    <row r="41" spans="3:36" ht="29.4" thickBot="1" x14ac:dyDescent="0.35">
      <c r="C41" s="956" t="s">
        <v>55</v>
      </c>
      <c r="D41" s="957"/>
      <c r="E41" s="438" t="s">
        <v>56</v>
      </c>
      <c r="F41" s="439">
        <v>46024</v>
      </c>
      <c r="G41" s="441">
        <v>46751</v>
      </c>
      <c r="K41" s="949"/>
      <c r="L41" s="950"/>
      <c r="M41" s="950"/>
      <c r="N41" s="950"/>
      <c r="O41" s="950"/>
      <c r="P41" s="950"/>
      <c r="Q41" s="950"/>
      <c r="R41" s="950"/>
      <c r="S41" s="950"/>
      <c r="T41" s="950"/>
      <c r="U41" s="950"/>
      <c r="V41" s="951"/>
      <c r="W41" s="949"/>
      <c r="X41" s="950"/>
      <c r="Y41" s="950"/>
      <c r="Z41" s="950"/>
      <c r="AA41" s="950"/>
      <c r="AB41" s="950"/>
      <c r="AC41" s="950"/>
      <c r="AD41" s="950"/>
      <c r="AE41" s="950"/>
      <c r="AF41" s="950"/>
      <c r="AG41" s="950"/>
      <c r="AH41" s="951"/>
      <c r="AI41" s="861"/>
    </row>
    <row r="42" spans="3:36" x14ac:dyDescent="0.3">
      <c r="C42" s="416" t="s">
        <v>0</v>
      </c>
      <c r="D42" s="417" t="s">
        <v>6</v>
      </c>
      <c r="E42" s="417" t="s">
        <v>7</v>
      </c>
      <c r="F42" s="417" t="s">
        <v>8</v>
      </c>
      <c r="G42" s="417" t="s">
        <v>9</v>
      </c>
      <c r="H42" s="418" t="s">
        <v>10</v>
      </c>
      <c r="K42" s="946"/>
      <c r="L42" s="947"/>
      <c r="M42" s="947"/>
      <c r="N42" s="947"/>
      <c r="O42" s="947"/>
      <c r="P42" s="947"/>
      <c r="Q42" s="947"/>
      <c r="R42" s="947"/>
      <c r="S42" s="947"/>
      <c r="T42" s="947"/>
      <c r="U42" s="947"/>
      <c r="V42" s="948"/>
      <c r="W42" s="946"/>
      <c r="X42" s="947"/>
      <c r="Y42" s="947"/>
      <c r="Z42" s="947"/>
      <c r="AA42" s="947"/>
      <c r="AB42" s="947"/>
      <c r="AC42" s="947"/>
      <c r="AD42" s="947"/>
      <c r="AE42" s="947"/>
      <c r="AF42" s="947"/>
      <c r="AG42" s="947"/>
      <c r="AH42" s="948"/>
      <c r="AI42" s="861"/>
    </row>
    <row r="43" spans="3:36" x14ac:dyDescent="0.3">
      <c r="C43" s="407" t="s">
        <v>57</v>
      </c>
      <c r="D43" s="435" t="s">
        <v>58</v>
      </c>
      <c r="E43" s="405" t="s">
        <v>59</v>
      </c>
      <c r="F43" s="406">
        <v>30000</v>
      </c>
      <c r="G43" s="436">
        <v>46054</v>
      </c>
      <c r="H43" s="421">
        <v>46158</v>
      </c>
      <c r="I43" s="358"/>
      <c r="K43" s="723"/>
      <c r="L43" s="591">
        <v>7500</v>
      </c>
      <c r="M43" s="591">
        <v>7500</v>
      </c>
      <c r="N43" s="591">
        <v>7500</v>
      </c>
      <c r="O43" s="591">
        <v>7500</v>
      </c>
      <c r="P43" s="146"/>
      <c r="Q43" s="146"/>
      <c r="R43" s="146"/>
      <c r="S43" s="146"/>
      <c r="T43" s="146"/>
      <c r="U43" s="146"/>
      <c r="V43" s="724"/>
      <c r="W43" s="849"/>
      <c r="X43" s="146"/>
      <c r="Y43" s="146"/>
      <c r="Z43" s="146"/>
      <c r="AA43" s="146"/>
      <c r="AB43" s="146"/>
      <c r="AC43" s="146"/>
      <c r="AD43" s="146"/>
      <c r="AE43" s="146"/>
      <c r="AF43" s="146"/>
      <c r="AG43" s="146"/>
      <c r="AH43" s="724"/>
      <c r="AI43" s="860" t="str">
        <f t="shared" ref="AI43:AI71" si="65">IF(SUM(K43:AH43)=F43,"Si","No")</f>
        <v>Si</v>
      </c>
      <c r="AJ43" s="862">
        <f t="shared" ref="AJ43:AJ71" si="66">+SUM(K43:AH43)</f>
        <v>30000</v>
      </c>
    </row>
    <row r="44" spans="3:36" x14ac:dyDescent="0.3">
      <c r="C44" s="407" t="s">
        <v>57</v>
      </c>
      <c r="D44" s="435" t="s">
        <v>24</v>
      </c>
      <c r="E44" s="405" t="s">
        <v>60</v>
      </c>
      <c r="F44" s="406">
        <v>110378</v>
      </c>
      <c r="G44" s="436">
        <v>46054</v>
      </c>
      <c r="H44" s="421">
        <v>46537</v>
      </c>
      <c r="I44" s="358"/>
      <c r="K44" s="723"/>
      <c r="L44" s="591">
        <v>6898.625</v>
      </c>
      <c r="M44" s="591">
        <v>6898.625</v>
      </c>
      <c r="N44" s="591">
        <v>6898.625</v>
      </c>
      <c r="O44" s="591">
        <v>6898.625</v>
      </c>
      <c r="P44" s="591">
        <v>6898.625</v>
      </c>
      <c r="Q44" s="591">
        <v>6898.625</v>
      </c>
      <c r="R44" s="591">
        <v>6898.625</v>
      </c>
      <c r="S44" s="591">
        <v>6898.625</v>
      </c>
      <c r="T44" s="591">
        <v>6898.625</v>
      </c>
      <c r="U44" s="591">
        <v>6898.625</v>
      </c>
      <c r="V44" s="598">
        <v>6898.625</v>
      </c>
      <c r="W44" s="850">
        <v>6898.625</v>
      </c>
      <c r="X44" s="591">
        <v>6898.625</v>
      </c>
      <c r="Y44" s="591">
        <v>6898.625</v>
      </c>
      <c r="Z44" s="591">
        <v>6898.625</v>
      </c>
      <c r="AA44" s="591">
        <v>6898.625</v>
      </c>
      <c r="AB44" s="146"/>
      <c r="AC44" s="146"/>
      <c r="AD44" s="146"/>
      <c r="AE44" s="146"/>
      <c r="AF44" s="146"/>
      <c r="AG44" s="146"/>
      <c r="AH44" s="724"/>
      <c r="AI44" s="860" t="str">
        <f t="shared" si="65"/>
        <v>Si</v>
      </c>
      <c r="AJ44" s="862">
        <f t="shared" si="66"/>
        <v>110378</v>
      </c>
    </row>
    <row r="45" spans="3:36" x14ac:dyDescent="0.3">
      <c r="C45" s="407" t="s">
        <v>57</v>
      </c>
      <c r="D45" s="435" t="s">
        <v>61</v>
      </c>
      <c r="E45" s="405" t="s">
        <v>62</v>
      </c>
      <c r="F45" s="406">
        <v>25000</v>
      </c>
      <c r="G45" s="436" t="s">
        <v>63</v>
      </c>
      <c r="H45" s="411" t="s">
        <v>63</v>
      </c>
      <c r="K45" s="711"/>
      <c r="L45" s="710"/>
      <c r="M45" s="591">
        <v>25000</v>
      </c>
      <c r="N45" s="710"/>
      <c r="O45" s="710"/>
      <c r="P45" s="710"/>
      <c r="Q45" s="710"/>
      <c r="R45" s="710"/>
      <c r="S45" s="710"/>
      <c r="T45" s="710"/>
      <c r="U45" s="710"/>
      <c r="V45" s="712"/>
      <c r="W45" s="847"/>
      <c r="X45" s="710"/>
      <c r="Y45" s="710"/>
      <c r="Z45" s="710"/>
      <c r="AA45" s="710"/>
      <c r="AB45" s="710"/>
      <c r="AC45" s="710"/>
      <c r="AD45" s="710"/>
      <c r="AE45" s="710"/>
      <c r="AF45" s="710"/>
      <c r="AG45" s="710"/>
      <c r="AH45" s="712"/>
      <c r="AI45" s="860" t="str">
        <f t="shared" si="65"/>
        <v>Si</v>
      </c>
      <c r="AJ45" s="862">
        <f t="shared" si="66"/>
        <v>25000</v>
      </c>
    </row>
    <row r="46" spans="3:36" x14ac:dyDescent="0.3">
      <c r="C46" s="407" t="s">
        <v>57</v>
      </c>
      <c r="D46" s="435" t="s">
        <v>64</v>
      </c>
      <c r="E46" s="405" t="s">
        <v>65</v>
      </c>
      <c r="F46" s="406">
        <v>1454.99</v>
      </c>
      <c r="G46" s="436" t="s">
        <v>63</v>
      </c>
      <c r="H46" s="411" t="s">
        <v>63</v>
      </c>
      <c r="K46" s="711"/>
      <c r="L46" s="710"/>
      <c r="M46" s="591">
        <v>1454.99</v>
      </c>
      <c r="N46" s="710"/>
      <c r="O46" s="710"/>
      <c r="P46" s="710"/>
      <c r="Q46" s="710"/>
      <c r="R46" s="710"/>
      <c r="S46" s="710"/>
      <c r="T46" s="710"/>
      <c r="U46" s="710"/>
      <c r="V46" s="712"/>
      <c r="W46" s="847"/>
      <c r="X46" s="710"/>
      <c r="Y46" s="710"/>
      <c r="Z46" s="710"/>
      <c r="AA46" s="710"/>
      <c r="AB46" s="710"/>
      <c r="AC46" s="710"/>
      <c r="AD46" s="710"/>
      <c r="AE46" s="710"/>
      <c r="AF46" s="710"/>
      <c r="AG46" s="710"/>
      <c r="AH46" s="712"/>
      <c r="AI46" s="860" t="str">
        <f t="shared" si="65"/>
        <v>Si</v>
      </c>
      <c r="AJ46" s="862">
        <f t="shared" si="66"/>
        <v>1454.99</v>
      </c>
    </row>
    <row r="47" spans="3:36" x14ac:dyDescent="0.3">
      <c r="C47" s="407" t="s">
        <v>57</v>
      </c>
      <c r="D47" s="435" t="s">
        <v>66</v>
      </c>
      <c r="E47" s="405" t="s">
        <v>67</v>
      </c>
      <c r="F47" s="406">
        <v>1500</v>
      </c>
      <c r="G47" s="436" t="s">
        <v>63</v>
      </c>
      <c r="H47" s="411" t="s">
        <v>63</v>
      </c>
      <c r="K47" s="711"/>
      <c r="L47" s="710"/>
      <c r="M47" s="591">
        <v>1500</v>
      </c>
      <c r="N47" s="710"/>
      <c r="O47" s="710"/>
      <c r="P47" s="710"/>
      <c r="Q47" s="710"/>
      <c r="R47" s="710"/>
      <c r="S47" s="710"/>
      <c r="T47" s="710"/>
      <c r="U47" s="710"/>
      <c r="V47" s="712"/>
      <c r="W47" s="847"/>
      <c r="X47" s="710"/>
      <c r="Y47" s="710"/>
      <c r="Z47" s="710"/>
      <c r="AA47" s="710"/>
      <c r="AB47" s="710"/>
      <c r="AC47" s="710"/>
      <c r="AD47" s="710"/>
      <c r="AE47" s="710"/>
      <c r="AF47" s="710"/>
      <c r="AG47" s="710"/>
      <c r="AH47" s="712"/>
      <c r="AI47" s="860" t="str">
        <f t="shared" si="65"/>
        <v>Si</v>
      </c>
      <c r="AJ47" s="862">
        <f t="shared" si="66"/>
        <v>1500</v>
      </c>
    </row>
    <row r="48" spans="3:36" x14ac:dyDescent="0.3">
      <c r="C48" s="407" t="s">
        <v>57</v>
      </c>
      <c r="D48" s="435" t="s">
        <v>68</v>
      </c>
      <c r="E48" s="405" t="s">
        <v>69</v>
      </c>
      <c r="F48" s="406">
        <v>3000</v>
      </c>
      <c r="G48" s="436" t="s">
        <v>63</v>
      </c>
      <c r="H48" s="411" t="s">
        <v>63</v>
      </c>
      <c r="K48" s="711"/>
      <c r="L48" s="710"/>
      <c r="M48" s="591">
        <v>3000</v>
      </c>
      <c r="N48" s="710"/>
      <c r="O48" s="710"/>
      <c r="P48" s="710"/>
      <c r="Q48" s="710"/>
      <c r="R48" s="710"/>
      <c r="S48" s="710"/>
      <c r="T48" s="710"/>
      <c r="U48" s="710"/>
      <c r="V48" s="712"/>
      <c r="W48" s="847"/>
      <c r="X48" s="710"/>
      <c r="Y48" s="710"/>
      <c r="Z48" s="710"/>
      <c r="AA48" s="710"/>
      <c r="AB48" s="710"/>
      <c r="AC48" s="710"/>
      <c r="AD48" s="710"/>
      <c r="AE48" s="710"/>
      <c r="AF48" s="710"/>
      <c r="AG48" s="710"/>
      <c r="AH48" s="712"/>
      <c r="AI48" s="860" t="str">
        <f t="shared" si="65"/>
        <v>Si</v>
      </c>
      <c r="AJ48" s="862">
        <f t="shared" si="66"/>
        <v>3000</v>
      </c>
    </row>
    <row r="49" spans="3:36" x14ac:dyDescent="0.3">
      <c r="C49" s="407" t="s">
        <v>57</v>
      </c>
      <c r="D49" s="435" t="s">
        <v>70</v>
      </c>
      <c r="E49" s="405" t="s">
        <v>71</v>
      </c>
      <c r="F49" s="388">
        <v>20000</v>
      </c>
      <c r="G49" s="436" t="s">
        <v>63</v>
      </c>
      <c r="H49" s="411" t="s">
        <v>63</v>
      </c>
      <c r="K49" s="597">
        <v>833.33333333333337</v>
      </c>
      <c r="L49" s="591">
        <v>833.33333333333337</v>
      </c>
      <c r="M49" s="591">
        <v>833.33333333333337</v>
      </c>
      <c r="N49" s="591">
        <v>833.33333333333337</v>
      </c>
      <c r="O49" s="591">
        <v>833.33333333333337</v>
      </c>
      <c r="P49" s="591">
        <v>833.33333333333337</v>
      </c>
      <c r="Q49" s="591">
        <v>833.33333333333337</v>
      </c>
      <c r="R49" s="591">
        <v>833.33333333333337</v>
      </c>
      <c r="S49" s="591">
        <v>833.33333333333337</v>
      </c>
      <c r="T49" s="591">
        <v>833.33333333333337</v>
      </c>
      <c r="U49" s="591">
        <v>833.33333333333337</v>
      </c>
      <c r="V49" s="598">
        <v>833.33333333333337</v>
      </c>
      <c r="W49" s="850">
        <v>833.33333333333337</v>
      </c>
      <c r="X49" s="591">
        <v>833.33333333333337</v>
      </c>
      <c r="Y49" s="591">
        <v>833.33333333333337</v>
      </c>
      <c r="Z49" s="591">
        <v>833.33333333333337</v>
      </c>
      <c r="AA49" s="591">
        <v>833.33333333333337</v>
      </c>
      <c r="AB49" s="591">
        <v>833.33333333333337</v>
      </c>
      <c r="AC49" s="591">
        <v>833.33333333333337</v>
      </c>
      <c r="AD49" s="591">
        <v>833.33333333333337</v>
      </c>
      <c r="AE49" s="591">
        <v>833.33333333333337</v>
      </c>
      <c r="AF49" s="591">
        <v>833.33333333333337</v>
      </c>
      <c r="AG49" s="591">
        <v>833.33333333333337</v>
      </c>
      <c r="AH49" s="598">
        <v>833.33333333333337</v>
      </c>
      <c r="AI49" s="860" t="str">
        <f t="shared" si="65"/>
        <v>Si</v>
      </c>
      <c r="AJ49" s="862">
        <f t="shared" si="66"/>
        <v>20000</v>
      </c>
    </row>
    <row r="50" spans="3:36" x14ac:dyDescent="0.3">
      <c r="C50" s="407" t="s">
        <v>57</v>
      </c>
      <c r="D50" s="435" t="s">
        <v>72</v>
      </c>
      <c r="E50" s="405" t="s">
        <v>73</v>
      </c>
      <c r="F50" s="388">
        <v>10000</v>
      </c>
      <c r="G50" s="436" t="s">
        <v>63</v>
      </c>
      <c r="H50" s="411" t="s">
        <v>63</v>
      </c>
      <c r="K50" s="597">
        <v>416.66666666666669</v>
      </c>
      <c r="L50" s="591">
        <v>416.66666666666669</v>
      </c>
      <c r="M50" s="591">
        <v>416.66666666666669</v>
      </c>
      <c r="N50" s="591">
        <v>416.66666666666669</v>
      </c>
      <c r="O50" s="591">
        <v>416.66666666666669</v>
      </c>
      <c r="P50" s="591">
        <v>416.66666666666669</v>
      </c>
      <c r="Q50" s="591">
        <v>416.66666666666669</v>
      </c>
      <c r="R50" s="591">
        <v>416.66666666666669</v>
      </c>
      <c r="S50" s="591">
        <v>416.66666666666669</v>
      </c>
      <c r="T50" s="591">
        <v>416.66666666666669</v>
      </c>
      <c r="U50" s="591">
        <v>416.66666666666669</v>
      </c>
      <c r="V50" s="598">
        <v>416.66666666666669</v>
      </c>
      <c r="W50" s="850">
        <v>416.66666666666669</v>
      </c>
      <c r="X50" s="591">
        <v>416.66666666666669</v>
      </c>
      <c r="Y50" s="591">
        <v>416.66666666666669</v>
      </c>
      <c r="Z50" s="591">
        <v>416.66666666666669</v>
      </c>
      <c r="AA50" s="591">
        <v>416.66666666666669</v>
      </c>
      <c r="AB50" s="591">
        <v>416.66666666666669</v>
      </c>
      <c r="AC50" s="591">
        <v>416.66666666666669</v>
      </c>
      <c r="AD50" s="591">
        <v>416.66666666666669</v>
      </c>
      <c r="AE50" s="591">
        <v>416.66666666666669</v>
      </c>
      <c r="AF50" s="591">
        <v>416.66666666666669</v>
      </c>
      <c r="AG50" s="591">
        <v>416.66666666666669</v>
      </c>
      <c r="AH50" s="598">
        <v>416.66666666666669</v>
      </c>
      <c r="AI50" s="860" t="str">
        <f t="shared" si="65"/>
        <v>Si</v>
      </c>
      <c r="AJ50" s="862">
        <f t="shared" si="66"/>
        <v>10000</v>
      </c>
    </row>
    <row r="51" spans="3:36" x14ac:dyDescent="0.3">
      <c r="C51" s="407" t="s">
        <v>57</v>
      </c>
      <c r="D51" s="435" t="s">
        <v>74</v>
      </c>
      <c r="E51" s="405" t="s">
        <v>75</v>
      </c>
      <c r="F51" s="388">
        <v>50000</v>
      </c>
      <c r="G51" s="436" t="s">
        <v>63</v>
      </c>
      <c r="H51" s="411" t="s">
        <v>63</v>
      </c>
      <c r="K51" s="597">
        <v>2083.3333333333335</v>
      </c>
      <c r="L51" s="591">
        <v>2083.3333333333335</v>
      </c>
      <c r="M51" s="591">
        <v>2083.3333333333335</v>
      </c>
      <c r="N51" s="591">
        <v>2083.3333333333335</v>
      </c>
      <c r="O51" s="591">
        <v>2083.3333333333335</v>
      </c>
      <c r="P51" s="591">
        <v>2083.3333333333335</v>
      </c>
      <c r="Q51" s="591">
        <v>2083.3333333333335</v>
      </c>
      <c r="R51" s="591">
        <v>2083.3333333333335</v>
      </c>
      <c r="S51" s="591">
        <v>2083.3333333333335</v>
      </c>
      <c r="T51" s="591">
        <v>2083.3333333333335</v>
      </c>
      <c r="U51" s="591">
        <v>2083.3333333333335</v>
      </c>
      <c r="V51" s="598">
        <v>2083.3333333333335</v>
      </c>
      <c r="W51" s="850">
        <v>2083.3333333333335</v>
      </c>
      <c r="X51" s="591">
        <v>2083.3333333333335</v>
      </c>
      <c r="Y51" s="591">
        <v>2083.3333333333335</v>
      </c>
      <c r="Z51" s="591">
        <v>2083.3333333333335</v>
      </c>
      <c r="AA51" s="591">
        <v>2083.3333333333335</v>
      </c>
      <c r="AB51" s="591">
        <v>2083.3333333333335</v>
      </c>
      <c r="AC51" s="591">
        <v>2083.3333333333335</v>
      </c>
      <c r="AD51" s="591">
        <v>2083.3333333333335</v>
      </c>
      <c r="AE51" s="591">
        <v>2083.3333333333335</v>
      </c>
      <c r="AF51" s="591">
        <v>2083.3333333333335</v>
      </c>
      <c r="AG51" s="591">
        <v>2083.3333333333335</v>
      </c>
      <c r="AH51" s="598">
        <v>2083.3333333333335</v>
      </c>
      <c r="AI51" s="860" t="str">
        <f t="shared" si="65"/>
        <v>Si</v>
      </c>
      <c r="AJ51" s="862">
        <f t="shared" si="66"/>
        <v>50000.000000000015</v>
      </c>
    </row>
    <row r="52" spans="3:36" x14ac:dyDescent="0.3">
      <c r="C52" s="407" t="s">
        <v>57</v>
      </c>
      <c r="D52" s="435" t="s">
        <v>76</v>
      </c>
      <c r="E52" s="405" t="s">
        <v>77</v>
      </c>
      <c r="F52" s="388">
        <f>1582.94+2263.31</f>
        <v>3846.25</v>
      </c>
      <c r="G52" s="436" t="s">
        <v>63</v>
      </c>
      <c r="H52" s="411" t="s">
        <v>63</v>
      </c>
      <c r="K52" s="597">
        <v>160.26041666666666</v>
      </c>
      <c r="L52" s="591">
        <v>160.26041666666666</v>
      </c>
      <c r="M52" s="591">
        <v>160.26041666666666</v>
      </c>
      <c r="N52" s="591">
        <v>160.26041666666666</v>
      </c>
      <c r="O52" s="591">
        <v>160.26041666666666</v>
      </c>
      <c r="P52" s="591">
        <v>160.26041666666666</v>
      </c>
      <c r="Q52" s="591">
        <v>160.26041666666666</v>
      </c>
      <c r="R52" s="591">
        <v>160.26041666666666</v>
      </c>
      <c r="S52" s="591">
        <v>160.26041666666666</v>
      </c>
      <c r="T52" s="591">
        <v>160.26041666666666</v>
      </c>
      <c r="U52" s="591">
        <v>160.26041666666666</v>
      </c>
      <c r="V52" s="598">
        <v>160.26041666666666</v>
      </c>
      <c r="W52" s="850">
        <v>160.26041666666666</v>
      </c>
      <c r="X52" s="591">
        <v>160.26041666666666</v>
      </c>
      <c r="Y52" s="591">
        <v>160.26041666666666</v>
      </c>
      <c r="Z52" s="591">
        <v>160.26041666666666</v>
      </c>
      <c r="AA52" s="591">
        <v>160.26041666666666</v>
      </c>
      <c r="AB52" s="591">
        <v>160.26041666666666</v>
      </c>
      <c r="AC52" s="591">
        <v>160.26041666666666</v>
      </c>
      <c r="AD52" s="591">
        <v>160.26041666666666</v>
      </c>
      <c r="AE52" s="591">
        <v>160.26041666666666</v>
      </c>
      <c r="AF52" s="591">
        <v>160.26041666666666</v>
      </c>
      <c r="AG52" s="591">
        <v>160.26041666666666</v>
      </c>
      <c r="AH52" s="598">
        <v>160.26041666666666</v>
      </c>
      <c r="AI52" s="860" t="str">
        <f t="shared" si="65"/>
        <v>Si</v>
      </c>
      <c r="AJ52" s="862">
        <f t="shared" si="66"/>
        <v>3846.2499999999986</v>
      </c>
    </row>
    <row r="53" spans="3:36" x14ac:dyDescent="0.3">
      <c r="C53" s="407" t="s">
        <v>57</v>
      </c>
      <c r="D53" s="435" t="s">
        <v>78</v>
      </c>
      <c r="E53" s="405" t="s">
        <v>79</v>
      </c>
      <c r="F53" s="388">
        <v>20000</v>
      </c>
      <c r="G53" s="436" t="s">
        <v>63</v>
      </c>
      <c r="H53" s="411" t="s">
        <v>63</v>
      </c>
      <c r="K53" s="597">
        <v>833.33333333333337</v>
      </c>
      <c r="L53" s="591">
        <v>833.33333333333337</v>
      </c>
      <c r="M53" s="591">
        <v>833.33333333333337</v>
      </c>
      <c r="N53" s="591">
        <v>833.33333333333337</v>
      </c>
      <c r="O53" s="591">
        <v>833.33333333333337</v>
      </c>
      <c r="P53" s="591">
        <v>833.33333333333337</v>
      </c>
      <c r="Q53" s="591">
        <v>833.33333333333337</v>
      </c>
      <c r="R53" s="591">
        <v>833.33333333333337</v>
      </c>
      <c r="S53" s="591">
        <v>833.33333333333337</v>
      </c>
      <c r="T53" s="591">
        <v>833.33333333333337</v>
      </c>
      <c r="U53" s="591">
        <v>833.33333333333337</v>
      </c>
      <c r="V53" s="598">
        <v>833.33333333333337</v>
      </c>
      <c r="W53" s="850">
        <v>833.33333333333337</v>
      </c>
      <c r="X53" s="591">
        <v>833.33333333333337</v>
      </c>
      <c r="Y53" s="591">
        <v>833.33333333333337</v>
      </c>
      <c r="Z53" s="591">
        <v>833.33333333333337</v>
      </c>
      <c r="AA53" s="591">
        <v>833.33333333333337</v>
      </c>
      <c r="AB53" s="591">
        <v>833.33333333333337</v>
      </c>
      <c r="AC53" s="591">
        <v>833.33333333333337</v>
      </c>
      <c r="AD53" s="591">
        <v>833.33333333333337</v>
      </c>
      <c r="AE53" s="591">
        <v>833.33333333333337</v>
      </c>
      <c r="AF53" s="591">
        <v>833.33333333333337</v>
      </c>
      <c r="AG53" s="591">
        <v>833.33333333333337</v>
      </c>
      <c r="AH53" s="598">
        <v>833.33333333333337</v>
      </c>
      <c r="AI53" s="860" t="str">
        <f t="shared" si="65"/>
        <v>Si</v>
      </c>
      <c r="AJ53" s="862">
        <f t="shared" si="66"/>
        <v>20000</v>
      </c>
    </row>
    <row r="54" spans="3:36" x14ac:dyDescent="0.3">
      <c r="C54" s="407" t="s">
        <v>57</v>
      </c>
      <c r="D54" s="435" t="s">
        <v>80</v>
      </c>
      <c r="E54" s="405" t="s">
        <v>81</v>
      </c>
      <c r="F54" s="388">
        <v>2000</v>
      </c>
      <c r="G54" s="436" t="s">
        <v>63</v>
      </c>
      <c r="H54" s="411" t="s">
        <v>63</v>
      </c>
      <c r="K54" s="597">
        <v>83.333333333333329</v>
      </c>
      <c r="L54" s="591">
        <v>83.333333333333329</v>
      </c>
      <c r="M54" s="591">
        <v>83.333333333333329</v>
      </c>
      <c r="N54" s="591">
        <v>83.333333333333329</v>
      </c>
      <c r="O54" s="591">
        <v>83.333333333333329</v>
      </c>
      <c r="P54" s="591">
        <v>83.333333333333329</v>
      </c>
      <c r="Q54" s="591">
        <v>83.333333333333329</v>
      </c>
      <c r="R54" s="591">
        <v>83.333333333333329</v>
      </c>
      <c r="S54" s="591">
        <v>83.333333333333329</v>
      </c>
      <c r="T54" s="591">
        <v>83.333333333333329</v>
      </c>
      <c r="U54" s="591">
        <v>83.333333333333329</v>
      </c>
      <c r="V54" s="598">
        <v>83.333333333333329</v>
      </c>
      <c r="W54" s="850">
        <v>83.333333333333329</v>
      </c>
      <c r="X54" s="591">
        <v>83.333333333333329</v>
      </c>
      <c r="Y54" s="591">
        <v>83.333333333333329</v>
      </c>
      <c r="Z54" s="591">
        <v>83.333333333333329</v>
      </c>
      <c r="AA54" s="591">
        <v>83.333333333333329</v>
      </c>
      <c r="AB54" s="591">
        <v>83.333333333333329</v>
      </c>
      <c r="AC54" s="591">
        <v>83.333333333333329</v>
      </c>
      <c r="AD54" s="591">
        <v>83.333333333333329</v>
      </c>
      <c r="AE54" s="591">
        <v>83.333333333333329</v>
      </c>
      <c r="AF54" s="591">
        <v>83.333333333333329</v>
      </c>
      <c r="AG54" s="591">
        <v>83.333333333333329</v>
      </c>
      <c r="AH54" s="598">
        <v>83.333333333333329</v>
      </c>
      <c r="AI54" s="860" t="str">
        <f t="shared" si="65"/>
        <v>Si</v>
      </c>
      <c r="AJ54" s="862">
        <f t="shared" si="66"/>
        <v>1999.9999999999993</v>
      </c>
    </row>
    <row r="55" spans="3:36" x14ac:dyDescent="0.3">
      <c r="C55" s="407" t="s">
        <v>57</v>
      </c>
      <c r="D55" s="435" t="s">
        <v>82</v>
      </c>
      <c r="E55" s="405" t="s">
        <v>83</v>
      </c>
      <c r="F55" s="388">
        <v>35000</v>
      </c>
      <c r="G55" s="436" t="s">
        <v>63</v>
      </c>
      <c r="H55" s="411" t="s">
        <v>63</v>
      </c>
      <c r="K55" s="597">
        <v>1458.3333333333301</v>
      </c>
      <c r="L55" s="591">
        <v>1458.3333333333333</v>
      </c>
      <c r="M55" s="591">
        <v>1458.3333333333333</v>
      </c>
      <c r="N55" s="591">
        <v>1458.3333333333333</v>
      </c>
      <c r="O55" s="591">
        <v>1458.3333333333333</v>
      </c>
      <c r="P55" s="591">
        <v>1458.3333333333333</v>
      </c>
      <c r="Q55" s="591">
        <v>1458.3333333333333</v>
      </c>
      <c r="R55" s="591">
        <v>1458.3333333333333</v>
      </c>
      <c r="S55" s="591">
        <v>1458.3333333333333</v>
      </c>
      <c r="T55" s="591">
        <v>1458.3333333333333</v>
      </c>
      <c r="U55" s="591">
        <v>1458.3333333333333</v>
      </c>
      <c r="V55" s="598">
        <v>1458.3333333333333</v>
      </c>
      <c r="W55" s="850">
        <v>1458.3333333333333</v>
      </c>
      <c r="X55" s="591">
        <v>1458.3333333333333</v>
      </c>
      <c r="Y55" s="591">
        <v>1458.3333333333333</v>
      </c>
      <c r="Z55" s="591">
        <v>1458.3333333333333</v>
      </c>
      <c r="AA55" s="591">
        <v>1458.3333333333333</v>
      </c>
      <c r="AB55" s="591">
        <v>1458.3333333333333</v>
      </c>
      <c r="AC55" s="591">
        <v>1458.3333333333333</v>
      </c>
      <c r="AD55" s="591">
        <v>1458.3333333333333</v>
      </c>
      <c r="AE55" s="591">
        <v>1458.3333333333333</v>
      </c>
      <c r="AF55" s="591">
        <v>1458.3333333333333</v>
      </c>
      <c r="AG55" s="591">
        <v>1458.3333333333333</v>
      </c>
      <c r="AH55" s="598">
        <v>1458.3333333333333</v>
      </c>
      <c r="AI55" s="860" t="str">
        <f t="shared" si="65"/>
        <v>Si</v>
      </c>
      <c r="AJ55" s="862">
        <f t="shared" si="66"/>
        <v>34999.999999999993</v>
      </c>
    </row>
    <row r="56" spans="3:36" ht="28.8" x14ac:dyDescent="0.3">
      <c r="C56" s="407" t="s">
        <v>57</v>
      </c>
      <c r="D56" s="435" t="s">
        <v>84</v>
      </c>
      <c r="E56" s="405" t="s">
        <v>85</v>
      </c>
      <c r="F56" s="406">
        <v>4000</v>
      </c>
      <c r="G56" s="436" t="s">
        <v>63</v>
      </c>
      <c r="H56" s="411" t="s">
        <v>63</v>
      </c>
      <c r="K56" s="711"/>
      <c r="L56" s="710"/>
      <c r="M56" s="591">
        <v>1000</v>
      </c>
      <c r="N56" s="710"/>
      <c r="O56" s="710"/>
      <c r="P56" s="710"/>
      <c r="Q56" s="710"/>
      <c r="R56" s="710"/>
      <c r="S56" s="710"/>
      <c r="T56" s="591">
        <v>1000</v>
      </c>
      <c r="U56" s="710"/>
      <c r="V56" s="712"/>
      <c r="W56" s="847"/>
      <c r="X56" s="710"/>
      <c r="Y56" s="591">
        <v>1000</v>
      </c>
      <c r="Z56" s="710"/>
      <c r="AA56" s="710"/>
      <c r="AB56" s="710"/>
      <c r="AC56" s="710"/>
      <c r="AD56" s="710"/>
      <c r="AE56" s="710"/>
      <c r="AF56" s="591">
        <v>1000</v>
      </c>
      <c r="AG56" s="710"/>
      <c r="AH56" s="712"/>
      <c r="AI56" s="860" t="str">
        <f t="shared" si="65"/>
        <v>Si</v>
      </c>
      <c r="AJ56" s="862">
        <f t="shared" si="66"/>
        <v>4000</v>
      </c>
    </row>
    <row r="57" spans="3:36" x14ac:dyDescent="0.3">
      <c r="C57" s="407" t="s">
        <v>57</v>
      </c>
      <c r="D57" s="435" t="s">
        <v>86</v>
      </c>
      <c r="E57" s="405" t="s">
        <v>87</v>
      </c>
      <c r="F57" s="406">
        <v>5000</v>
      </c>
      <c r="G57" s="436" t="s">
        <v>63</v>
      </c>
      <c r="H57" s="411" t="s">
        <v>63</v>
      </c>
      <c r="K57" s="711"/>
      <c r="L57" s="710"/>
      <c r="M57" s="710"/>
      <c r="N57" s="710"/>
      <c r="O57" s="710"/>
      <c r="P57" s="591">
        <v>2500</v>
      </c>
      <c r="Q57" s="710"/>
      <c r="R57" s="710"/>
      <c r="S57" s="710"/>
      <c r="T57" s="710"/>
      <c r="U57" s="710"/>
      <c r="V57" s="712"/>
      <c r="W57" s="847"/>
      <c r="X57" s="710"/>
      <c r="Y57" s="710"/>
      <c r="Z57" s="710"/>
      <c r="AA57" s="710"/>
      <c r="AB57" s="591">
        <v>2500</v>
      </c>
      <c r="AC57" s="710"/>
      <c r="AD57" s="710"/>
      <c r="AE57" s="710"/>
      <c r="AF57" s="710"/>
      <c r="AG57" s="710"/>
      <c r="AH57" s="712"/>
      <c r="AI57" s="860" t="str">
        <f t="shared" si="65"/>
        <v>Si</v>
      </c>
      <c r="AJ57" s="862">
        <f t="shared" si="66"/>
        <v>5000</v>
      </c>
    </row>
    <row r="58" spans="3:36" x14ac:dyDescent="0.3">
      <c r="C58" s="407" t="s">
        <v>57</v>
      </c>
      <c r="D58" s="435" t="s">
        <v>88</v>
      </c>
      <c r="E58" s="405" t="s">
        <v>89</v>
      </c>
      <c r="F58" s="406">
        <v>15000</v>
      </c>
      <c r="G58" s="436" t="s">
        <v>63</v>
      </c>
      <c r="H58" s="411" t="s">
        <v>63</v>
      </c>
      <c r="K58" s="597">
        <v>625</v>
      </c>
      <c r="L58" s="591">
        <v>625</v>
      </c>
      <c r="M58" s="591">
        <v>625</v>
      </c>
      <c r="N58" s="591">
        <v>625</v>
      </c>
      <c r="O58" s="591">
        <v>625</v>
      </c>
      <c r="P58" s="591">
        <v>625</v>
      </c>
      <c r="Q58" s="591">
        <v>625</v>
      </c>
      <c r="R58" s="591">
        <v>625</v>
      </c>
      <c r="S58" s="591">
        <v>625</v>
      </c>
      <c r="T58" s="591">
        <v>625</v>
      </c>
      <c r="U58" s="591">
        <v>625</v>
      </c>
      <c r="V58" s="598">
        <v>625</v>
      </c>
      <c r="W58" s="850">
        <v>625</v>
      </c>
      <c r="X58" s="591">
        <v>625</v>
      </c>
      <c r="Y58" s="591">
        <v>625</v>
      </c>
      <c r="Z58" s="591">
        <v>625</v>
      </c>
      <c r="AA58" s="591">
        <v>625</v>
      </c>
      <c r="AB58" s="591">
        <v>625</v>
      </c>
      <c r="AC58" s="591">
        <v>625</v>
      </c>
      <c r="AD58" s="591">
        <v>625</v>
      </c>
      <c r="AE58" s="591">
        <v>625</v>
      </c>
      <c r="AF58" s="591">
        <v>625</v>
      </c>
      <c r="AG58" s="591">
        <v>625</v>
      </c>
      <c r="AH58" s="598">
        <v>625</v>
      </c>
      <c r="AI58" s="860" t="str">
        <f t="shared" si="65"/>
        <v>Si</v>
      </c>
      <c r="AJ58" s="862">
        <f t="shared" si="66"/>
        <v>15000</v>
      </c>
    </row>
    <row r="59" spans="3:36" x14ac:dyDescent="0.3">
      <c r="C59" s="407" t="s">
        <v>57</v>
      </c>
      <c r="D59" s="435" t="s">
        <v>90</v>
      </c>
      <c r="E59" s="405" t="s">
        <v>91</v>
      </c>
      <c r="F59" s="406">
        <v>25000</v>
      </c>
      <c r="G59" s="436" t="s">
        <v>63</v>
      </c>
      <c r="H59" s="411" t="s">
        <v>63</v>
      </c>
      <c r="K59" s="597">
        <v>1041.6666666666667</v>
      </c>
      <c r="L59" s="591">
        <v>1041.6666666666667</v>
      </c>
      <c r="M59" s="591">
        <v>1041.6666666666667</v>
      </c>
      <c r="N59" s="591">
        <v>1041.6666666666667</v>
      </c>
      <c r="O59" s="591">
        <v>1041.6666666666667</v>
      </c>
      <c r="P59" s="591">
        <v>1041.6666666666667</v>
      </c>
      <c r="Q59" s="591">
        <v>1041.6666666666667</v>
      </c>
      <c r="R59" s="591">
        <v>1041.6666666666667</v>
      </c>
      <c r="S59" s="591">
        <v>1041.6666666666667</v>
      </c>
      <c r="T59" s="591">
        <v>1041.6666666666667</v>
      </c>
      <c r="U59" s="591">
        <v>1041.6666666666667</v>
      </c>
      <c r="V59" s="598">
        <v>1041.6666666666667</v>
      </c>
      <c r="W59" s="850">
        <v>1041.6666666666667</v>
      </c>
      <c r="X59" s="591">
        <v>1041.6666666666667</v>
      </c>
      <c r="Y59" s="591">
        <v>1041.6666666666667</v>
      </c>
      <c r="Z59" s="591">
        <v>1041.6666666666667</v>
      </c>
      <c r="AA59" s="591">
        <v>1041.6666666666667</v>
      </c>
      <c r="AB59" s="591">
        <v>1041.6666666666667</v>
      </c>
      <c r="AC59" s="591">
        <v>1041.6666666666667</v>
      </c>
      <c r="AD59" s="591">
        <v>1041.6666666666667</v>
      </c>
      <c r="AE59" s="591">
        <v>1041.6666666666667</v>
      </c>
      <c r="AF59" s="591">
        <v>1041.6666666666667</v>
      </c>
      <c r="AG59" s="591">
        <v>1041.6666666666667</v>
      </c>
      <c r="AH59" s="598">
        <v>1041.6666666666667</v>
      </c>
      <c r="AI59" s="860" t="str">
        <f t="shared" si="65"/>
        <v>Si</v>
      </c>
      <c r="AJ59" s="862">
        <f t="shared" si="66"/>
        <v>25000.000000000007</v>
      </c>
    </row>
    <row r="60" spans="3:36" x14ac:dyDescent="0.3">
      <c r="C60" s="407" t="s">
        <v>57</v>
      </c>
      <c r="D60" s="435" t="s">
        <v>24</v>
      </c>
      <c r="E60" s="405" t="s">
        <v>92</v>
      </c>
      <c r="F60" s="388">
        <f>999780-100000</f>
        <v>899780</v>
      </c>
      <c r="G60" s="436" t="s">
        <v>63</v>
      </c>
      <c r="H60" s="411" t="s">
        <v>63</v>
      </c>
      <c r="K60" s="597">
        <v>37490.833333333336</v>
      </c>
      <c r="L60" s="591">
        <v>37490.833333333336</v>
      </c>
      <c r="M60" s="591">
        <v>37490.833333333336</v>
      </c>
      <c r="N60" s="591">
        <v>37490.833333333336</v>
      </c>
      <c r="O60" s="591">
        <v>37490.833333333336</v>
      </c>
      <c r="P60" s="591">
        <v>37490.833333333336</v>
      </c>
      <c r="Q60" s="591">
        <v>37490.833333333336</v>
      </c>
      <c r="R60" s="591">
        <v>37490.833333333336</v>
      </c>
      <c r="S60" s="591">
        <v>37490.833333333336</v>
      </c>
      <c r="T60" s="591">
        <v>37490.833333333336</v>
      </c>
      <c r="U60" s="591">
        <v>37490.833333333336</v>
      </c>
      <c r="V60" s="598">
        <v>37490.833333333336</v>
      </c>
      <c r="W60" s="850">
        <v>37490.833333333336</v>
      </c>
      <c r="X60" s="591">
        <v>37490.833333333336</v>
      </c>
      <c r="Y60" s="591">
        <v>37490.833333333336</v>
      </c>
      <c r="Z60" s="591">
        <v>37490.833333333336</v>
      </c>
      <c r="AA60" s="591">
        <v>37490.833333333336</v>
      </c>
      <c r="AB60" s="591">
        <v>37490.833333333336</v>
      </c>
      <c r="AC60" s="591">
        <v>37490.833333333336</v>
      </c>
      <c r="AD60" s="591">
        <v>37490.833333333336</v>
      </c>
      <c r="AE60" s="591">
        <v>37490.833333333336</v>
      </c>
      <c r="AF60" s="591">
        <v>37490.833333333336</v>
      </c>
      <c r="AG60" s="591">
        <v>37490.833333333336</v>
      </c>
      <c r="AH60" s="598">
        <v>37490.833333333336</v>
      </c>
      <c r="AI60" s="860" t="str">
        <f t="shared" si="65"/>
        <v>Si</v>
      </c>
      <c r="AJ60" s="862">
        <f t="shared" si="66"/>
        <v>899780.00000000035</v>
      </c>
    </row>
    <row r="61" spans="3:36" x14ac:dyDescent="0.3">
      <c r="C61" s="407" t="s">
        <v>57</v>
      </c>
      <c r="D61" s="435" t="s">
        <v>93</v>
      </c>
      <c r="E61" s="405" t="s">
        <v>94</v>
      </c>
      <c r="F61" s="388">
        <v>15000</v>
      </c>
      <c r="G61" s="436" t="s">
        <v>63</v>
      </c>
      <c r="H61" s="411" t="s">
        <v>63</v>
      </c>
      <c r="K61" s="597">
        <v>625</v>
      </c>
      <c r="L61" s="591">
        <v>625</v>
      </c>
      <c r="M61" s="591">
        <v>625</v>
      </c>
      <c r="N61" s="591">
        <v>625</v>
      </c>
      <c r="O61" s="591">
        <v>625</v>
      </c>
      <c r="P61" s="591">
        <v>625</v>
      </c>
      <c r="Q61" s="591">
        <v>625</v>
      </c>
      <c r="R61" s="591">
        <v>625</v>
      </c>
      <c r="S61" s="591">
        <v>625</v>
      </c>
      <c r="T61" s="591">
        <v>625</v>
      </c>
      <c r="U61" s="591">
        <v>625</v>
      </c>
      <c r="V61" s="598">
        <v>625</v>
      </c>
      <c r="W61" s="850">
        <v>625</v>
      </c>
      <c r="X61" s="591">
        <v>625</v>
      </c>
      <c r="Y61" s="591">
        <v>625</v>
      </c>
      <c r="Z61" s="591">
        <v>625</v>
      </c>
      <c r="AA61" s="591">
        <v>625</v>
      </c>
      <c r="AB61" s="591">
        <v>625</v>
      </c>
      <c r="AC61" s="591">
        <v>625</v>
      </c>
      <c r="AD61" s="591">
        <v>625</v>
      </c>
      <c r="AE61" s="591">
        <v>625</v>
      </c>
      <c r="AF61" s="591">
        <v>625</v>
      </c>
      <c r="AG61" s="591">
        <v>625</v>
      </c>
      <c r="AH61" s="598">
        <v>625</v>
      </c>
      <c r="AI61" s="860" t="str">
        <f t="shared" si="65"/>
        <v>Si</v>
      </c>
      <c r="AJ61" s="862">
        <f t="shared" si="66"/>
        <v>15000</v>
      </c>
    </row>
    <row r="62" spans="3:36" x14ac:dyDescent="0.3">
      <c r="C62" s="407" t="s">
        <v>57</v>
      </c>
      <c r="D62" s="435" t="s">
        <v>95</v>
      </c>
      <c r="E62" s="405" t="s">
        <v>96</v>
      </c>
      <c r="F62" s="388">
        <f>1293.32+12175.38</f>
        <v>13468.699999999999</v>
      </c>
      <c r="G62" s="436" t="s">
        <v>63</v>
      </c>
      <c r="H62" s="411" t="s">
        <v>63</v>
      </c>
      <c r="K62" s="591">
        <v>561.19583333333333</v>
      </c>
      <c r="L62" s="591">
        <v>561.19583333333333</v>
      </c>
      <c r="M62" s="591">
        <v>561.19583333333333</v>
      </c>
      <c r="N62" s="591">
        <v>561.19583333333333</v>
      </c>
      <c r="O62" s="591">
        <v>561.19583333333333</v>
      </c>
      <c r="P62" s="591">
        <v>561.19583333333333</v>
      </c>
      <c r="Q62" s="591">
        <v>561.19583333333333</v>
      </c>
      <c r="R62" s="591">
        <v>561.19583333333333</v>
      </c>
      <c r="S62" s="591">
        <v>561.19583333333333</v>
      </c>
      <c r="T62" s="591">
        <v>561.19583333333333</v>
      </c>
      <c r="U62" s="591">
        <v>561.19583333333333</v>
      </c>
      <c r="V62" s="598">
        <v>561.19583333333333</v>
      </c>
      <c r="W62" s="850">
        <v>561.19583333333333</v>
      </c>
      <c r="X62" s="591">
        <v>561.19583333333333</v>
      </c>
      <c r="Y62" s="591">
        <v>561.19583333333333</v>
      </c>
      <c r="Z62" s="591">
        <v>561.19583333333333</v>
      </c>
      <c r="AA62" s="591">
        <v>561.19583333333333</v>
      </c>
      <c r="AB62" s="591">
        <v>561.19583333333333</v>
      </c>
      <c r="AC62" s="591">
        <v>561.19583333333333</v>
      </c>
      <c r="AD62" s="591">
        <v>561.19583333333333</v>
      </c>
      <c r="AE62" s="591">
        <v>561.19583333333333</v>
      </c>
      <c r="AF62" s="591">
        <v>561.19583333333333</v>
      </c>
      <c r="AG62" s="591">
        <v>561.19583333333333</v>
      </c>
      <c r="AH62" s="598">
        <v>561.19583333333333</v>
      </c>
      <c r="AI62" s="860" t="str">
        <f t="shared" si="65"/>
        <v>Si</v>
      </c>
      <c r="AJ62" s="862">
        <f t="shared" si="66"/>
        <v>13468.699999999999</v>
      </c>
    </row>
    <row r="63" spans="3:36" x14ac:dyDescent="0.3">
      <c r="C63" s="407" t="s">
        <v>57</v>
      </c>
      <c r="D63" s="435" t="s">
        <v>97</v>
      </c>
      <c r="E63" s="405" t="s">
        <v>98</v>
      </c>
      <c r="F63" s="406">
        <v>7500</v>
      </c>
      <c r="G63" s="436" t="s">
        <v>63</v>
      </c>
      <c r="H63" s="411" t="s">
        <v>63</v>
      </c>
      <c r="K63" s="597">
        <v>312.5</v>
      </c>
      <c r="L63" s="591">
        <v>312.5</v>
      </c>
      <c r="M63" s="591">
        <v>312.5</v>
      </c>
      <c r="N63" s="591">
        <v>312.5</v>
      </c>
      <c r="O63" s="591">
        <v>312.5</v>
      </c>
      <c r="P63" s="591">
        <v>312.5</v>
      </c>
      <c r="Q63" s="591">
        <v>312.5</v>
      </c>
      <c r="R63" s="591">
        <v>312.5</v>
      </c>
      <c r="S63" s="591">
        <v>312.5</v>
      </c>
      <c r="T63" s="591">
        <v>312.5</v>
      </c>
      <c r="U63" s="591">
        <v>312.5</v>
      </c>
      <c r="V63" s="598">
        <v>312.5</v>
      </c>
      <c r="W63" s="850">
        <v>312.5</v>
      </c>
      <c r="X63" s="591">
        <v>312.5</v>
      </c>
      <c r="Y63" s="591">
        <v>312.5</v>
      </c>
      <c r="Z63" s="591">
        <v>312.5</v>
      </c>
      <c r="AA63" s="591">
        <v>312.5</v>
      </c>
      <c r="AB63" s="591">
        <v>312.5</v>
      </c>
      <c r="AC63" s="591">
        <v>312.5</v>
      </c>
      <c r="AD63" s="591">
        <v>312.5</v>
      </c>
      <c r="AE63" s="591">
        <v>312.5</v>
      </c>
      <c r="AF63" s="591">
        <v>312.5</v>
      </c>
      <c r="AG63" s="591">
        <v>312.5</v>
      </c>
      <c r="AH63" s="598">
        <v>312.5</v>
      </c>
      <c r="AI63" s="860" t="str">
        <f t="shared" si="65"/>
        <v>Si</v>
      </c>
      <c r="AJ63" s="862">
        <f t="shared" si="66"/>
        <v>7500</v>
      </c>
    </row>
    <row r="64" spans="3:36" x14ac:dyDescent="0.3">
      <c r="C64" s="407" t="s">
        <v>57</v>
      </c>
      <c r="D64" s="435" t="s">
        <v>99</v>
      </c>
      <c r="E64" s="405" t="s">
        <v>100</v>
      </c>
      <c r="F64" s="406">
        <v>4500</v>
      </c>
      <c r="G64" s="436" t="s">
        <v>63</v>
      </c>
      <c r="H64" s="411" t="s">
        <v>63</v>
      </c>
      <c r="K64" s="597">
        <v>187.5</v>
      </c>
      <c r="L64" s="591">
        <v>187.5</v>
      </c>
      <c r="M64" s="591">
        <v>187.5</v>
      </c>
      <c r="N64" s="591">
        <v>187.5</v>
      </c>
      <c r="O64" s="591">
        <v>187.5</v>
      </c>
      <c r="P64" s="591">
        <v>187.5</v>
      </c>
      <c r="Q64" s="591">
        <v>187.5</v>
      </c>
      <c r="R64" s="591">
        <v>187.5</v>
      </c>
      <c r="S64" s="591">
        <v>187.5</v>
      </c>
      <c r="T64" s="591">
        <v>187.5</v>
      </c>
      <c r="U64" s="591">
        <v>187.5</v>
      </c>
      <c r="V64" s="598">
        <v>187.5</v>
      </c>
      <c r="W64" s="850">
        <v>187.5</v>
      </c>
      <c r="X64" s="591">
        <v>187.5</v>
      </c>
      <c r="Y64" s="591">
        <v>187.5</v>
      </c>
      <c r="Z64" s="591">
        <v>187.5</v>
      </c>
      <c r="AA64" s="591">
        <v>187.5</v>
      </c>
      <c r="AB64" s="591">
        <v>187.5</v>
      </c>
      <c r="AC64" s="591">
        <v>187.5</v>
      </c>
      <c r="AD64" s="591">
        <v>187.5</v>
      </c>
      <c r="AE64" s="591">
        <v>187.5</v>
      </c>
      <c r="AF64" s="591">
        <v>187.5</v>
      </c>
      <c r="AG64" s="591">
        <v>187.5</v>
      </c>
      <c r="AH64" s="598">
        <v>187.5</v>
      </c>
      <c r="AI64" s="860" t="str">
        <f t="shared" si="65"/>
        <v>Si</v>
      </c>
      <c r="AJ64" s="862">
        <f t="shared" si="66"/>
        <v>4500</v>
      </c>
    </row>
    <row r="65" spans="3:36" x14ac:dyDescent="0.3">
      <c r="C65" s="407" t="s">
        <v>57</v>
      </c>
      <c r="D65" s="435" t="s">
        <v>101</v>
      </c>
      <c r="E65" s="405" t="s">
        <v>102</v>
      </c>
      <c r="F65" s="406">
        <v>500</v>
      </c>
      <c r="G65" s="436" t="s">
        <v>63</v>
      </c>
      <c r="H65" s="411" t="s">
        <v>63</v>
      </c>
      <c r="K65" s="711"/>
      <c r="L65" s="591">
        <v>500</v>
      </c>
      <c r="M65" s="710"/>
      <c r="N65" s="710"/>
      <c r="O65" s="710"/>
      <c r="P65" s="710"/>
      <c r="Q65" s="710"/>
      <c r="R65" s="710"/>
      <c r="S65" s="710"/>
      <c r="T65" s="710"/>
      <c r="U65" s="710"/>
      <c r="V65" s="712"/>
      <c r="W65" s="847"/>
      <c r="X65" s="710"/>
      <c r="Y65" s="710"/>
      <c r="Z65" s="710"/>
      <c r="AA65" s="710"/>
      <c r="AB65" s="710"/>
      <c r="AC65" s="710"/>
      <c r="AD65" s="710"/>
      <c r="AE65" s="710"/>
      <c r="AF65" s="710"/>
      <c r="AG65" s="710"/>
      <c r="AH65" s="712"/>
      <c r="AI65" s="860" t="str">
        <f t="shared" si="65"/>
        <v>Si</v>
      </c>
      <c r="AJ65" s="862">
        <f t="shared" si="66"/>
        <v>500</v>
      </c>
    </row>
    <row r="66" spans="3:36" x14ac:dyDescent="0.3">
      <c r="C66" s="407" t="s">
        <v>57</v>
      </c>
      <c r="D66" s="435" t="s">
        <v>103</v>
      </c>
      <c r="E66" s="405" t="s">
        <v>104</v>
      </c>
      <c r="F66" s="406">
        <v>1212.45</v>
      </c>
      <c r="G66" s="436" t="s">
        <v>63</v>
      </c>
      <c r="H66" s="411" t="s">
        <v>63</v>
      </c>
      <c r="K66" s="597">
        <v>50.518750000000004</v>
      </c>
      <c r="L66" s="591">
        <v>50.518750000000004</v>
      </c>
      <c r="M66" s="591">
        <v>50.518750000000004</v>
      </c>
      <c r="N66" s="591">
        <v>50.518750000000004</v>
      </c>
      <c r="O66" s="591">
        <v>50.518750000000004</v>
      </c>
      <c r="P66" s="591">
        <v>50.518750000000004</v>
      </c>
      <c r="Q66" s="591">
        <v>50.518750000000004</v>
      </c>
      <c r="R66" s="591">
        <v>50.518750000000004</v>
      </c>
      <c r="S66" s="591">
        <v>50.518750000000004</v>
      </c>
      <c r="T66" s="591">
        <v>50.518750000000004</v>
      </c>
      <c r="U66" s="591">
        <v>50.518750000000004</v>
      </c>
      <c r="V66" s="598">
        <v>50.518750000000004</v>
      </c>
      <c r="W66" s="850">
        <v>50.518750000000004</v>
      </c>
      <c r="X66" s="591">
        <v>50.518750000000004</v>
      </c>
      <c r="Y66" s="591">
        <v>50.518750000000004</v>
      </c>
      <c r="Z66" s="591">
        <v>50.518750000000004</v>
      </c>
      <c r="AA66" s="591">
        <v>50.518750000000004</v>
      </c>
      <c r="AB66" s="591">
        <v>50.518750000000004</v>
      </c>
      <c r="AC66" s="591">
        <v>50.518750000000004</v>
      </c>
      <c r="AD66" s="591">
        <v>50.518750000000004</v>
      </c>
      <c r="AE66" s="591">
        <v>50.518750000000004</v>
      </c>
      <c r="AF66" s="591">
        <v>50.518750000000004</v>
      </c>
      <c r="AG66" s="591">
        <v>50.518750000000004</v>
      </c>
      <c r="AH66" s="598">
        <v>50.518750000000004</v>
      </c>
      <c r="AI66" s="860" t="str">
        <f t="shared" si="65"/>
        <v>Si</v>
      </c>
      <c r="AJ66" s="862">
        <f>+SUM(K66:AH66)</f>
        <v>1212.4499999999996</v>
      </c>
    </row>
    <row r="67" spans="3:36" x14ac:dyDescent="0.3">
      <c r="C67" s="407" t="s">
        <v>57</v>
      </c>
      <c r="D67" s="435" t="s">
        <v>105</v>
      </c>
      <c r="E67" s="405" t="s">
        <v>106</v>
      </c>
      <c r="F67" s="406">
        <v>7500</v>
      </c>
      <c r="G67" s="436" t="s">
        <v>63</v>
      </c>
      <c r="H67" s="411" t="s">
        <v>63</v>
      </c>
      <c r="K67" s="711"/>
      <c r="L67" s="591">
        <v>312.5</v>
      </c>
      <c r="M67" s="591">
        <v>312.5</v>
      </c>
      <c r="N67" s="591">
        <v>312.5</v>
      </c>
      <c r="O67" s="591">
        <v>312.5</v>
      </c>
      <c r="P67" s="591">
        <v>312.5</v>
      </c>
      <c r="Q67" s="591">
        <v>312.5</v>
      </c>
      <c r="R67" s="591">
        <v>312.5</v>
      </c>
      <c r="S67" s="591">
        <v>312.5</v>
      </c>
      <c r="T67" s="591">
        <v>312.5</v>
      </c>
      <c r="U67" s="591">
        <v>312.5</v>
      </c>
      <c r="V67" s="598">
        <v>312.5</v>
      </c>
      <c r="W67" s="850">
        <v>312.5</v>
      </c>
      <c r="X67" s="591">
        <v>312.5</v>
      </c>
      <c r="Y67" s="591">
        <v>312.5</v>
      </c>
      <c r="Z67" s="591">
        <v>312.5</v>
      </c>
      <c r="AA67" s="591">
        <v>312.5</v>
      </c>
      <c r="AB67" s="591">
        <v>312.5</v>
      </c>
      <c r="AC67" s="591">
        <v>312.5</v>
      </c>
      <c r="AD67" s="591">
        <v>312.5</v>
      </c>
      <c r="AE67" s="591">
        <v>312.5</v>
      </c>
      <c r="AF67" s="591">
        <v>312.5</v>
      </c>
      <c r="AG67" s="591">
        <v>312.5</v>
      </c>
      <c r="AH67" s="598">
        <v>625</v>
      </c>
      <c r="AI67" s="860" t="str">
        <f t="shared" si="65"/>
        <v>Si</v>
      </c>
      <c r="AJ67" s="862">
        <f t="shared" si="66"/>
        <v>7500</v>
      </c>
    </row>
    <row r="68" spans="3:36" x14ac:dyDescent="0.3">
      <c r="C68" s="407" t="s">
        <v>57</v>
      </c>
      <c r="D68" s="435" t="s">
        <v>107</v>
      </c>
      <c r="E68" s="405" t="s">
        <v>108</v>
      </c>
      <c r="F68" s="406">
        <v>7500</v>
      </c>
      <c r="G68" s="436" t="s">
        <v>63</v>
      </c>
      <c r="H68" s="411" t="s">
        <v>63</v>
      </c>
      <c r="K68" s="711"/>
      <c r="L68" s="591">
        <v>312.5</v>
      </c>
      <c r="M68" s="591">
        <v>312.5</v>
      </c>
      <c r="N68" s="591">
        <v>312.5</v>
      </c>
      <c r="O68" s="591">
        <v>312.5</v>
      </c>
      <c r="P68" s="591">
        <v>312.5</v>
      </c>
      <c r="Q68" s="591">
        <v>312.5</v>
      </c>
      <c r="R68" s="591">
        <v>312.5</v>
      </c>
      <c r="S68" s="591">
        <v>312.5</v>
      </c>
      <c r="T68" s="591">
        <v>312.5</v>
      </c>
      <c r="U68" s="591">
        <v>312.5</v>
      </c>
      <c r="V68" s="598">
        <v>312.5</v>
      </c>
      <c r="W68" s="850">
        <v>312.5</v>
      </c>
      <c r="X68" s="591">
        <v>312.5</v>
      </c>
      <c r="Y68" s="591">
        <v>312.5</v>
      </c>
      <c r="Z68" s="591">
        <v>312.5</v>
      </c>
      <c r="AA68" s="591">
        <v>312.5</v>
      </c>
      <c r="AB68" s="591">
        <v>312.5</v>
      </c>
      <c r="AC68" s="591">
        <v>312.5</v>
      </c>
      <c r="AD68" s="591">
        <v>312.5</v>
      </c>
      <c r="AE68" s="591">
        <v>312.5</v>
      </c>
      <c r="AF68" s="591">
        <v>312.5</v>
      </c>
      <c r="AG68" s="591">
        <v>312.5</v>
      </c>
      <c r="AH68" s="598">
        <v>625</v>
      </c>
      <c r="AI68" s="860" t="str">
        <f t="shared" si="65"/>
        <v>Si</v>
      </c>
      <c r="AJ68" s="862">
        <f t="shared" si="66"/>
        <v>7500</v>
      </c>
    </row>
    <row r="69" spans="3:36" x14ac:dyDescent="0.3">
      <c r="C69" s="407" t="s">
        <v>57</v>
      </c>
      <c r="D69" s="435" t="s">
        <v>109</v>
      </c>
      <c r="E69" s="405" t="s">
        <v>96</v>
      </c>
      <c r="F69" s="406">
        <v>2586.64</v>
      </c>
      <c r="G69" s="436" t="s">
        <v>63</v>
      </c>
      <c r="H69" s="411" t="s">
        <v>63</v>
      </c>
      <c r="K69" s="711"/>
      <c r="L69" s="591">
        <v>107.77666666666666</v>
      </c>
      <c r="M69" s="591">
        <v>107.77666666666666</v>
      </c>
      <c r="N69" s="591">
        <v>107.77666666666666</v>
      </c>
      <c r="O69" s="591">
        <v>107.77666666666666</v>
      </c>
      <c r="P69" s="591">
        <v>107.77666666666666</v>
      </c>
      <c r="Q69" s="591">
        <v>107.77666666666666</v>
      </c>
      <c r="R69" s="591">
        <v>107.77666666666666</v>
      </c>
      <c r="S69" s="591">
        <v>107.77666666666666</v>
      </c>
      <c r="T69" s="591">
        <v>107.77666666666666</v>
      </c>
      <c r="U69" s="591">
        <v>107.77666666666666</v>
      </c>
      <c r="V69" s="598">
        <v>107.77666666666666</v>
      </c>
      <c r="W69" s="850">
        <v>107.77666666666666</v>
      </c>
      <c r="X69" s="591">
        <v>107.77666666666666</v>
      </c>
      <c r="Y69" s="591">
        <v>107.77666666666666</v>
      </c>
      <c r="Z69" s="591">
        <v>107.77666666666666</v>
      </c>
      <c r="AA69" s="591">
        <v>107.77666666666666</v>
      </c>
      <c r="AB69" s="591">
        <v>107.77666666666666</v>
      </c>
      <c r="AC69" s="591">
        <v>107.77666666666666</v>
      </c>
      <c r="AD69" s="591">
        <v>107.77666666666666</v>
      </c>
      <c r="AE69" s="591">
        <v>107.77666666666666</v>
      </c>
      <c r="AF69" s="591">
        <v>107.77666666666666</v>
      </c>
      <c r="AG69" s="591">
        <v>107.77666666666666</v>
      </c>
      <c r="AH69" s="598">
        <v>215.553333333334</v>
      </c>
      <c r="AI69" s="860" t="str">
        <f t="shared" si="65"/>
        <v>Si</v>
      </c>
      <c r="AJ69" s="862">
        <f t="shared" si="66"/>
        <v>2586.6400000000008</v>
      </c>
    </row>
    <row r="70" spans="3:36" x14ac:dyDescent="0.3">
      <c r="C70" s="397" t="s">
        <v>57</v>
      </c>
      <c r="D70" s="442" t="s">
        <v>110</v>
      </c>
      <c r="E70" s="160" t="s">
        <v>111</v>
      </c>
      <c r="F70" s="406">
        <v>10000</v>
      </c>
      <c r="G70" s="442" t="s">
        <v>63</v>
      </c>
      <c r="H70" s="411" t="s">
        <v>63</v>
      </c>
      <c r="K70" s="591">
        <v>416.66666666666669</v>
      </c>
      <c r="L70" s="591">
        <v>416.66666666666669</v>
      </c>
      <c r="M70" s="591">
        <v>416.66666666666669</v>
      </c>
      <c r="N70" s="591">
        <v>416.66666666666669</v>
      </c>
      <c r="O70" s="591">
        <v>416.66666666666669</v>
      </c>
      <c r="P70" s="591">
        <v>416.66666666666669</v>
      </c>
      <c r="Q70" s="591">
        <v>416.66666666666669</v>
      </c>
      <c r="R70" s="591">
        <v>416.66666666666669</v>
      </c>
      <c r="S70" s="591">
        <v>416.66666666666669</v>
      </c>
      <c r="T70" s="591">
        <v>416.66666666666669</v>
      </c>
      <c r="U70" s="591">
        <v>416.66666666666669</v>
      </c>
      <c r="V70" s="598">
        <v>416.66666666666669</v>
      </c>
      <c r="W70" s="850">
        <v>416.66666666666669</v>
      </c>
      <c r="X70" s="591">
        <v>416.66666666666669</v>
      </c>
      <c r="Y70" s="591">
        <v>416.66666666666669</v>
      </c>
      <c r="Z70" s="591">
        <v>416.66666666666669</v>
      </c>
      <c r="AA70" s="591">
        <v>416.66666666666669</v>
      </c>
      <c r="AB70" s="591">
        <v>416.66666666666669</v>
      </c>
      <c r="AC70" s="591">
        <v>416.66666666666669</v>
      </c>
      <c r="AD70" s="591">
        <v>416.66666666666669</v>
      </c>
      <c r="AE70" s="591">
        <v>416.66666666666669</v>
      </c>
      <c r="AF70" s="591">
        <v>416.66666666666669</v>
      </c>
      <c r="AG70" s="591">
        <v>416.66666666666669</v>
      </c>
      <c r="AH70" s="591">
        <v>416.66666666666669</v>
      </c>
      <c r="AI70" s="860" t="str">
        <f t="shared" si="65"/>
        <v>Si</v>
      </c>
      <c r="AJ70" s="862">
        <f t="shared" si="66"/>
        <v>10000</v>
      </c>
    </row>
    <row r="71" spans="3:36" ht="15" thickBot="1" x14ac:dyDescent="0.35">
      <c r="C71" s="398" t="s">
        <v>57</v>
      </c>
      <c r="D71" s="401" t="s">
        <v>112</v>
      </c>
      <c r="E71" s="360" t="s">
        <v>113</v>
      </c>
      <c r="F71" s="410">
        <v>6500</v>
      </c>
      <c r="G71" s="401" t="s">
        <v>63</v>
      </c>
      <c r="H71" s="412" t="s">
        <v>63</v>
      </c>
      <c r="K71" s="711"/>
      <c r="L71" s="591">
        <v>270.83333333333297</v>
      </c>
      <c r="M71" s="591">
        <v>270.83333333333331</v>
      </c>
      <c r="N71" s="591">
        <v>270.83333333333331</v>
      </c>
      <c r="O71" s="591">
        <v>270.83333333333331</v>
      </c>
      <c r="P71" s="591">
        <v>270.83333333333331</v>
      </c>
      <c r="Q71" s="591">
        <v>270.83333333333331</v>
      </c>
      <c r="R71" s="591">
        <v>270.83333333333331</v>
      </c>
      <c r="S71" s="591">
        <v>270.83333333333331</v>
      </c>
      <c r="T71" s="591">
        <v>270.83333333333331</v>
      </c>
      <c r="U71" s="591">
        <v>270.83333333333331</v>
      </c>
      <c r="V71" s="598">
        <v>270.83333333333331</v>
      </c>
      <c r="W71" s="850">
        <v>270.83333333333331</v>
      </c>
      <c r="X71" s="591">
        <v>270.83333333333331</v>
      </c>
      <c r="Y71" s="591">
        <v>270.83333333333331</v>
      </c>
      <c r="Z71" s="591">
        <v>270.83333333333331</v>
      </c>
      <c r="AA71" s="591">
        <v>270.83333333333331</v>
      </c>
      <c r="AB71" s="591">
        <v>270.83333333333331</v>
      </c>
      <c r="AC71" s="591">
        <v>270.83333333333331</v>
      </c>
      <c r="AD71" s="591">
        <v>270.83333333333331</v>
      </c>
      <c r="AE71" s="591">
        <v>270.83333333333331</v>
      </c>
      <c r="AF71" s="591">
        <v>270.83333333333331</v>
      </c>
      <c r="AG71" s="591">
        <v>270.83333333333331</v>
      </c>
      <c r="AH71" s="850">
        <v>541.66666666666595</v>
      </c>
      <c r="AI71" s="860" t="str">
        <f t="shared" si="65"/>
        <v>Si</v>
      </c>
      <c r="AJ71" s="862">
        <f t="shared" si="66"/>
        <v>6499.9999999999982</v>
      </c>
    </row>
    <row r="72" spans="3:36" ht="15" thickBot="1" x14ac:dyDescent="0.35">
      <c r="E72" s="462" t="s">
        <v>26</v>
      </c>
      <c r="F72" s="463">
        <f>SUM(F43:F71)</f>
        <v>1337227.0299999998</v>
      </c>
      <c r="K72" s="739">
        <f>+SUM(K43:K71)</f>
        <v>47179.474999999999</v>
      </c>
      <c r="L72" s="738">
        <f>+SUM(L43:L71)</f>
        <v>63081.71</v>
      </c>
      <c r="M72" s="738">
        <f t="shared" ref="M72:V72" si="67">+SUM(M43:M71)</f>
        <v>94536.700000000012</v>
      </c>
      <c r="N72" s="738">
        <f t="shared" si="67"/>
        <v>62581.71</v>
      </c>
      <c r="O72" s="738">
        <f t="shared" si="67"/>
        <v>62581.71</v>
      </c>
      <c r="P72" s="738">
        <f t="shared" si="67"/>
        <v>57581.71</v>
      </c>
      <c r="Q72" s="738">
        <f t="shared" si="67"/>
        <v>55081.71</v>
      </c>
      <c r="R72" s="738">
        <f t="shared" si="67"/>
        <v>55081.71</v>
      </c>
      <c r="S72" s="738">
        <f t="shared" si="67"/>
        <v>55081.71</v>
      </c>
      <c r="T72" s="738">
        <f t="shared" si="67"/>
        <v>56081.71</v>
      </c>
      <c r="U72" s="738">
        <f t="shared" si="67"/>
        <v>55081.71</v>
      </c>
      <c r="V72" s="853">
        <f t="shared" si="67"/>
        <v>55081.71</v>
      </c>
      <c r="W72" s="843">
        <f>+SUM(W43:W71)</f>
        <v>55081.71</v>
      </c>
      <c r="X72" s="738">
        <f t="shared" ref="X72:AH72" si="68">+SUM(X43:X71)</f>
        <v>55081.71</v>
      </c>
      <c r="Y72" s="738">
        <f t="shared" si="68"/>
        <v>56081.71</v>
      </c>
      <c r="Z72" s="738">
        <f t="shared" si="68"/>
        <v>55081.71</v>
      </c>
      <c r="AA72" s="738">
        <f t="shared" si="68"/>
        <v>55081.71</v>
      </c>
      <c r="AB72" s="738">
        <f t="shared" si="68"/>
        <v>50683.084999999999</v>
      </c>
      <c r="AC72" s="738">
        <f t="shared" si="68"/>
        <v>48183.084999999999</v>
      </c>
      <c r="AD72" s="738">
        <f t="shared" si="68"/>
        <v>48183.084999999999</v>
      </c>
      <c r="AE72" s="738">
        <f t="shared" si="68"/>
        <v>48183.084999999999</v>
      </c>
      <c r="AF72" s="738">
        <f t="shared" si="68"/>
        <v>49183.084999999999</v>
      </c>
      <c r="AG72" s="738">
        <f t="shared" si="68"/>
        <v>48183.084999999999</v>
      </c>
      <c r="AH72" s="844">
        <f t="shared" si="68"/>
        <v>49186.695</v>
      </c>
      <c r="AI72" s="861"/>
    </row>
    <row r="73" spans="3:36" ht="15" thickBot="1" x14ac:dyDescent="0.35">
      <c r="E73" s="857"/>
      <c r="F73" s="858"/>
      <c r="G73" s="859"/>
      <c r="K73" s="971">
        <f>+SUM(K72:V72)</f>
        <v>719033.27500000002</v>
      </c>
      <c r="L73" s="972"/>
      <c r="M73" s="972"/>
      <c r="N73" s="972"/>
      <c r="O73" s="972"/>
      <c r="P73" s="972"/>
      <c r="Q73" s="972"/>
      <c r="R73" s="972"/>
      <c r="S73" s="972"/>
      <c r="T73" s="972"/>
      <c r="U73" s="972"/>
      <c r="V73" s="973"/>
      <c r="W73" s="971">
        <f>+SUM(W72:AH72)</f>
        <v>618193.755</v>
      </c>
      <c r="X73" s="972"/>
      <c r="Y73" s="972"/>
      <c r="Z73" s="972"/>
      <c r="AA73" s="972"/>
      <c r="AB73" s="972"/>
      <c r="AC73" s="972"/>
      <c r="AD73" s="972"/>
      <c r="AE73" s="972"/>
      <c r="AF73" s="972"/>
      <c r="AG73" s="972"/>
      <c r="AH73" s="973"/>
      <c r="AI73" s="860" t="str">
        <f>IF(SUM(K73:AH73)=F72,"Si","No")</f>
        <v>Si</v>
      </c>
      <c r="AJ73" s="864">
        <f>+SUM(K73:AH73)</f>
        <v>1337227.03</v>
      </c>
    </row>
    <row r="74" spans="3:36" x14ac:dyDescent="0.3">
      <c r="C74" s="958" t="s">
        <v>0</v>
      </c>
      <c r="D74" s="959"/>
      <c r="E74" s="417" t="s">
        <v>1</v>
      </c>
      <c r="F74" s="417" t="s">
        <v>2</v>
      </c>
      <c r="G74" s="418" t="s">
        <v>3</v>
      </c>
      <c r="K74" s="946"/>
      <c r="L74" s="947"/>
      <c r="M74" s="947"/>
      <c r="N74" s="947"/>
      <c r="O74" s="947"/>
      <c r="P74" s="947"/>
      <c r="Q74" s="947"/>
      <c r="R74" s="947"/>
      <c r="S74" s="947"/>
      <c r="T74" s="947"/>
      <c r="U74" s="947"/>
      <c r="V74" s="948"/>
      <c r="W74" s="946"/>
      <c r="X74" s="947"/>
      <c r="Y74" s="947"/>
      <c r="Z74" s="947"/>
      <c r="AA74" s="947"/>
      <c r="AB74" s="947"/>
      <c r="AC74" s="947"/>
      <c r="AD74" s="947"/>
      <c r="AE74" s="947"/>
      <c r="AF74" s="947"/>
      <c r="AG74" s="947"/>
      <c r="AH74" s="948"/>
      <c r="AI74" s="861"/>
    </row>
    <row r="75" spans="3:36" ht="29.4" thickBot="1" x14ac:dyDescent="0.35">
      <c r="C75" s="966" t="s">
        <v>114</v>
      </c>
      <c r="D75" s="967"/>
      <c r="E75" s="19" t="s">
        <v>115</v>
      </c>
      <c r="F75" s="55">
        <v>45689</v>
      </c>
      <c r="G75" s="395">
        <v>46541</v>
      </c>
      <c r="K75" s="949"/>
      <c r="L75" s="950"/>
      <c r="M75" s="950"/>
      <c r="N75" s="950"/>
      <c r="O75" s="950"/>
      <c r="P75" s="950"/>
      <c r="Q75" s="950"/>
      <c r="R75" s="950"/>
      <c r="S75" s="950"/>
      <c r="T75" s="950"/>
      <c r="U75" s="950"/>
      <c r="V75" s="951"/>
      <c r="W75" s="949"/>
      <c r="X75" s="950"/>
      <c r="Y75" s="950"/>
      <c r="Z75" s="950"/>
      <c r="AA75" s="950"/>
      <c r="AB75" s="950"/>
      <c r="AC75" s="950"/>
      <c r="AD75" s="950"/>
      <c r="AE75" s="950"/>
      <c r="AF75" s="950"/>
      <c r="AG75" s="950"/>
      <c r="AH75" s="951"/>
      <c r="AI75" s="861"/>
    </row>
    <row r="76" spans="3:36" ht="29.4" hidden="1" thickBot="1" x14ac:dyDescent="0.35">
      <c r="C76" s="962" t="s">
        <v>116</v>
      </c>
      <c r="D76" s="963"/>
      <c r="E76" s="357" t="s">
        <v>117</v>
      </c>
      <c r="F76" s="445">
        <v>45915</v>
      </c>
      <c r="G76" s="446">
        <v>46055</v>
      </c>
      <c r="K76" s="849"/>
      <c r="L76" s="146"/>
      <c r="M76" s="146"/>
      <c r="N76" s="146"/>
      <c r="O76" s="146"/>
      <c r="P76" s="146"/>
      <c r="Q76" s="146"/>
      <c r="R76" s="146"/>
      <c r="S76" s="146"/>
      <c r="T76" s="146"/>
      <c r="U76" s="146"/>
      <c r="V76" s="724"/>
      <c r="W76" s="849"/>
      <c r="X76" s="146"/>
      <c r="Y76" s="146"/>
      <c r="Z76" s="146"/>
      <c r="AA76" s="146"/>
      <c r="AB76" s="146"/>
      <c r="AC76" s="146"/>
      <c r="AD76" s="146"/>
      <c r="AE76" s="146"/>
      <c r="AF76" s="146"/>
      <c r="AG76" s="146"/>
      <c r="AH76" s="724"/>
      <c r="AI76" s="861"/>
    </row>
    <row r="77" spans="3:36" x14ac:dyDescent="0.3">
      <c r="C77" s="416" t="s">
        <v>0</v>
      </c>
      <c r="D77" s="417" t="s">
        <v>6</v>
      </c>
      <c r="E77" s="417" t="s">
        <v>7</v>
      </c>
      <c r="F77" s="417" t="s">
        <v>8</v>
      </c>
      <c r="G77" s="417" t="s">
        <v>9</v>
      </c>
      <c r="H77" s="418" t="s">
        <v>10</v>
      </c>
      <c r="K77" s="946"/>
      <c r="L77" s="947"/>
      <c r="M77" s="947"/>
      <c r="N77" s="947"/>
      <c r="O77" s="947"/>
      <c r="P77" s="947"/>
      <c r="Q77" s="947"/>
      <c r="R77" s="947"/>
      <c r="S77" s="947"/>
      <c r="T77" s="947"/>
      <c r="U77" s="947"/>
      <c r="V77" s="948"/>
      <c r="W77" s="946"/>
      <c r="X77" s="947"/>
      <c r="Y77" s="947"/>
      <c r="Z77" s="947"/>
      <c r="AA77" s="947"/>
      <c r="AB77" s="947"/>
      <c r="AC77" s="947"/>
      <c r="AD77" s="947"/>
      <c r="AE77" s="947"/>
      <c r="AF77" s="947"/>
      <c r="AG77" s="947"/>
      <c r="AH77" s="948"/>
      <c r="AI77" s="861"/>
    </row>
    <row r="78" spans="3:36" x14ac:dyDescent="0.3">
      <c r="C78" s="407" t="s">
        <v>116</v>
      </c>
      <c r="D78" s="435" t="s">
        <v>118</v>
      </c>
      <c r="E78" s="405" t="s">
        <v>119</v>
      </c>
      <c r="F78" s="388">
        <v>10000</v>
      </c>
      <c r="G78" s="436">
        <v>46139</v>
      </c>
      <c r="H78" s="421">
        <v>46319</v>
      </c>
      <c r="I78" s="358"/>
      <c r="K78" s="723"/>
      <c r="L78" s="146"/>
      <c r="M78" s="146"/>
      <c r="N78" s="591">
        <v>1428.5714285714287</v>
      </c>
      <c r="O78" s="591">
        <v>1428.5714285714287</v>
      </c>
      <c r="P78" s="591">
        <v>1428.5714285714287</v>
      </c>
      <c r="Q78" s="591">
        <v>1428.5714285714287</v>
      </c>
      <c r="R78" s="591">
        <v>1428.5714285714287</v>
      </c>
      <c r="S78" s="591">
        <v>1428.5714285714287</v>
      </c>
      <c r="T78" s="591">
        <v>1428.5714285714287</v>
      </c>
      <c r="U78" s="146"/>
      <c r="V78" s="724"/>
      <c r="W78" s="849"/>
      <c r="X78" s="146"/>
      <c r="Y78" s="146"/>
      <c r="Z78" s="146"/>
      <c r="AA78" s="146"/>
      <c r="AB78" s="146"/>
      <c r="AC78" s="146"/>
      <c r="AD78" s="146"/>
      <c r="AE78" s="146"/>
      <c r="AF78" s="146"/>
      <c r="AG78" s="146"/>
      <c r="AH78" s="724"/>
      <c r="AI78" s="860" t="str">
        <f t="shared" ref="AI78:AI88" si="69">IF(SUM(K78:AH78)=F78,"Si","No")</f>
        <v>Si</v>
      </c>
      <c r="AJ78" s="862">
        <f t="shared" ref="AJ78:AJ88" si="70">+SUM(K78:AH78)</f>
        <v>10000.000000000002</v>
      </c>
    </row>
    <row r="79" spans="3:36" ht="28.8" x14ac:dyDescent="0.3">
      <c r="C79" s="407" t="s">
        <v>116</v>
      </c>
      <c r="D79" s="435" t="s">
        <v>118</v>
      </c>
      <c r="E79" s="405" t="s">
        <v>120</v>
      </c>
      <c r="F79" s="388">
        <v>12000</v>
      </c>
      <c r="G79" s="436">
        <v>46242</v>
      </c>
      <c r="H79" s="421">
        <v>46422</v>
      </c>
      <c r="I79" s="358"/>
      <c r="K79" s="723"/>
      <c r="L79" s="146"/>
      <c r="M79" s="146"/>
      <c r="N79" s="146"/>
      <c r="O79" s="146"/>
      <c r="P79" s="146"/>
      <c r="Q79" s="146"/>
      <c r="R79" s="591">
        <v>2400</v>
      </c>
      <c r="S79" s="591">
        <v>0</v>
      </c>
      <c r="T79" s="591">
        <v>0</v>
      </c>
      <c r="U79" s="591">
        <v>4800</v>
      </c>
      <c r="V79" s="598">
        <v>0</v>
      </c>
      <c r="W79" s="850">
        <v>0</v>
      </c>
      <c r="X79" s="591">
        <v>4800</v>
      </c>
      <c r="Y79" s="146"/>
      <c r="Z79" s="146"/>
      <c r="AA79" s="146"/>
      <c r="AB79" s="146"/>
      <c r="AC79" s="146"/>
      <c r="AD79" s="146"/>
      <c r="AE79" s="146"/>
      <c r="AF79" s="146"/>
      <c r="AG79" s="146"/>
      <c r="AH79" s="724"/>
      <c r="AI79" s="860" t="str">
        <f t="shared" si="69"/>
        <v>Si</v>
      </c>
      <c r="AJ79" s="862">
        <f t="shared" si="70"/>
        <v>12000</v>
      </c>
    </row>
    <row r="80" spans="3:36" ht="28.8" x14ac:dyDescent="0.3">
      <c r="C80" s="407" t="s">
        <v>116</v>
      </c>
      <c r="D80" s="435" t="s">
        <v>121</v>
      </c>
      <c r="E80" s="405" t="s">
        <v>122</v>
      </c>
      <c r="F80" s="388">
        <v>30000</v>
      </c>
      <c r="G80" s="436">
        <v>46393</v>
      </c>
      <c r="H80" s="421">
        <v>46688</v>
      </c>
      <c r="I80" s="573"/>
      <c r="K80" s="723"/>
      <c r="L80" s="146"/>
      <c r="M80" s="710"/>
      <c r="N80" s="710"/>
      <c r="O80" s="710"/>
      <c r="P80" s="710"/>
      <c r="Q80" s="710"/>
      <c r="R80" s="710"/>
      <c r="S80" s="710"/>
      <c r="T80" s="710"/>
      <c r="U80" s="710"/>
      <c r="V80" s="712"/>
      <c r="W80" s="850">
        <v>3000</v>
      </c>
      <c r="X80" s="591">
        <v>3000</v>
      </c>
      <c r="Y80" s="591">
        <v>3000</v>
      </c>
      <c r="Z80" s="591">
        <v>3000</v>
      </c>
      <c r="AA80" s="591">
        <v>3000</v>
      </c>
      <c r="AB80" s="591">
        <v>3000</v>
      </c>
      <c r="AC80" s="591">
        <v>3000</v>
      </c>
      <c r="AD80" s="591">
        <v>3000</v>
      </c>
      <c r="AE80" s="591">
        <v>3000</v>
      </c>
      <c r="AF80" s="591">
        <v>3000</v>
      </c>
      <c r="AG80" s="146"/>
      <c r="AH80" s="724"/>
      <c r="AI80" s="860" t="str">
        <f t="shared" si="69"/>
        <v>Si</v>
      </c>
      <c r="AJ80" s="862">
        <f t="shared" si="70"/>
        <v>30000</v>
      </c>
    </row>
    <row r="81" spans="3:36" ht="28.8" x14ac:dyDescent="0.3">
      <c r="C81" s="407" t="s">
        <v>116</v>
      </c>
      <c r="D81" s="435" t="s">
        <v>121</v>
      </c>
      <c r="E81" s="405" t="s">
        <v>123</v>
      </c>
      <c r="F81" s="413">
        <v>20000</v>
      </c>
      <c r="G81" s="436">
        <v>46411</v>
      </c>
      <c r="H81" s="421">
        <v>46589</v>
      </c>
      <c r="I81" s="573"/>
      <c r="K81" s="723"/>
      <c r="L81" s="146"/>
      <c r="M81" s="146"/>
      <c r="N81" s="146"/>
      <c r="O81" s="591">
        <v>4000</v>
      </c>
      <c r="P81" s="591">
        <v>0</v>
      </c>
      <c r="Q81" s="591">
        <v>0</v>
      </c>
      <c r="R81" s="591">
        <v>10000</v>
      </c>
      <c r="S81" s="591">
        <v>0</v>
      </c>
      <c r="T81" s="591">
        <v>0</v>
      </c>
      <c r="U81" s="591">
        <v>6000</v>
      </c>
      <c r="V81" s="724"/>
      <c r="W81" s="847"/>
      <c r="X81" s="710"/>
      <c r="Y81" s="710"/>
      <c r="Z81" s="710"/>
      <c r="AA81" s="710"/>
      <c r="AB81" s="710"/>
      <c r="AC81" s="710"/>
      <c r="AD81" s="710"/>
      <c r="AE81" s="146"/>
      <c r="AF81" s="146"/>
      <c r="AG81" s="146"/>
      <c r="AH81" s="724"/>
      <c r="AI81" s="860" t="str">
        <f t="shared" si="69"/>
        <v>Si</v>
      </c>
      <c r="AJ81" s="862">
        <f t="shared" si="70"/>
        <v>20000</v>
      </c>
    </row>
    <row r="82" spans="3:36" x14ac:dyDescent="0.3">
      <c r="C82" s="407" t="s">
        <v>116</v>
      </c>
      <c r="D82" s="435" t="s">
        <v>118</v>
      </c>
      <c r="E82" s="405" t="s">
        <v>124</v>
      </c>
      <c r="F82" s="413">
        <v>19500</v>
      </c>
      <c r="G82" s="436">
        <v>46443</v>
      </c>
      <c r="H82" s="421">
        <v>46621</v>
      </c>
      <c r="I82" s="573"/>
      <c r="K82" s="723"/>
      <c r="L82" s="146"/>
      <c r="M82" s="146"/>
      <c r="N82" s="146"/>
      <c r="O82" s="146"/>
      <c r="P82" s="146"/>
      <c r="Q82" s="146"/>
      <c r="R82" s="146"/>
      <c r="S82" s="146"/>
      <c r="T82" s="146"/>
      <c r="U82" s="146"/>
      <c r="V82" s="724"/>
      <c r="W82" s="847"/>
      <c r="X82" s="591">
        <v>2785.7142857142858</v>
      </c>
      <c r="Y82" s="591">
        <v>2785.7142857142858</v>
      </c>
      <c r="Z82" s="591">
        <v>2785.7142857142858</v>
      </c>
      <c r="AA82" s="591">
        <v>2785.7142857142858</v>
      </c>
      <c r="AB82" s="591">
        <v>2785.7142857142858</v>
      </c>
      <c r="AC82" s="591">
        <v>2785.7142857142858</v>
      </c>
      <c r="AD82" s="591">
        <v>2785.7142857142858</v>
      </c>
      <c r="AE82" s="146"/>
      <c r="AF82" s="146"/>
      <c r="AG82" s="146"/>
      <c r="AH82" s="724"/>
      <c r="AI82" s="860" t="str">
        <f t="shared" si="69"/>
        <v>Si</v>
      </c>
      <c r="AJ82" s="862">
        <f t="shared" si="70"/>
        <v>19500</v>
      </c>
    </row>
    <row r="83" spans="3:36" ht="28.8" x14ac:dyDescent="0.3">
      <c r="C83" s="407" t="s">
        <v>116</v>
      </c>
      <c r="D83" s="435" t="s">
        <v>125</v>
      </c>
      <c r="E83" s="405" t="s">
        <v>126</v>
      </c>
      <c r="F83" s="414">
        <v>15000</v>
      </c>
      <c r="G83" s="436">
        <v>46391</v>
      </c>
      <c r="H83" s="421">
        <v>46600</v>
      </c>
      <c r="I83" s="573"/>
      <c r="K83" s="723"/>
      <c r="L83" s="146"/>
      <c r="M83" s="146"/>
      <c r="N83" s="146"/>
      <c r="O83" s="146"/>
      <c r="P83" s="146"/>
      <c r="Q83" s="146"/>
      <c r="R83" s="146"/>
      <c r="S83" s="146"/>
      <c r="T83" s="146"/>
      <c r="U83" s="146"/>
      <c r="V83" s="724"/>
      <c r="W83" s="591">
        <v>2142.8571428571427</v>
      </c>
      <c r="X83" s="591">
        <v>2142.8571428571427</v>
      </c>
      <c r="Y83" s="591">
        <v>2142.8571428571427</v>
      </c>
      <c r="Z83" s="591">
        <v>2142.8571428571427</v>
      </c>
      <c r="AA83" s="591">
        <v>2142.8571428571427</v>
      </c>
      <c r="AB83" s="591">
        <v>2142.8571428571427</v>
      </c>
      <c r="AC83" s="591">
        <v>2142.8571428571427</v>
      </c>
      <c r="AD83" s="710"/>
      <c r="AE83" s="146"/>
      <c r="AF83" s="146"/>
      <c r="AG83" s="146"/>
      <c r="AH83" s="724"/>
      <c r="AI83" s="860" t="str">
        <f t="shared" si="69"/>
        <v>Si</v>
      </c>
      <c r="AJ83" s="862">
        <f t="shared" si="70"/>
        <v>15000</v>
      </c>
    </row>
    <row r="84" spans="3:36" ht="28.8" x14ac:dyDescent="0.3">
      <c r="C84" s="407" t="s">
        <v>116</v>
      </c>
      <c r="D84" s="435" t="s">
        <v>118</v>
      </c>
      <c r="E84" s="405" t="s">
        <v>127</v>
      </c>
      <c r="F84" s="414">
        <v>22000</v>
      </c>
      <c r="G84" s="436">
        <v>46414</v>
      </c>
      <c r="H84" s="421">
        <v>46662</v>
      </c>
      <c r="I84" s="573"/>
      <c r="K84" s="723"/>
      <c r="L84" s="146"/>
      <c r="M84" s="146"/>
      <c r="N84" s="591">
        <v>2000</v>
      </c>
      <c r="O84" s="591">
        <v>2000</v>
      </c>
      <c r="P84" s="591">
        <v>2000</v>
      </c>
      <c r="Q84" s="591">
        <v>2000</v>
      </c>
      <c r="R84" s="591">
        <v>2000</v>
      </c>
      <c r="S84" s="591">
        <v>2000</v>
      </c>
      <c r="T84" s="591">
        <v>2000</v>
      </c>
      <c r="U84" s="591">
        <v>2000</v>
      </c>
      <c r="V84" s="591">
        <v>2000</v>
      </c>
      <c r="W84" s="591">
        <v>2000</v>
      </c>
      <c r="X84" s="591">
        <v>2000</v>
      </c>
      <c r="Y84" s="863"/>
      <c r="Z84" s="710"/>
      <c r="AA84" s="710"/>
      <c r="AB84" s="710"/>
      <c r="AC84" s="710"/>
      <c r="AD84" s="710"/>
      <c r="AE84" s="710"/>
      <c r="AF84" s="710"/>
      <c r="AG84" s="146"/>
      <c r="AH84" s="724"/>
      <c r="AI84" s="860" t="str">
        <f t="shared" si="69"/>
        <v>Si</v>
      </c>
      <c r="AJ84" s="862">
        <f t="shared" si="70"/>
        <v>22000</v>
      </c>
    </row>
    <row r="85" spans="3:36" x14ac:dyDescent="0.3">
      <c r="C85" s="407" t="s">
        <v>116</v>
      </c>
      <c r="D85" s="435" t="s">
        <v>128</v>
      </c>
      <c r="E85" s="405" t="s">
        <v>129</v>
      </c>
      <c r="F85" s="414">
        <v>22000</v>
      </c>
      <c r="G85" s="436">
        <v>46426</v>
      </c>
      <c r="H85" s="421">
        <v>46604</v>
      </c>
      <c r="I85" s="573"/>
      <c r="K85" s="723"/>
      <c r="L85" s="146"/>
      <c r="M85" s="591">
        <v>2200</v>
      </c>
      <c r="N85" s="591">
        <v>2200</v>
      </c>
      <c r="O85" s="591">
        <v>2200</v>
      </c>
      <c r="P85" s="591">
        <v>2200</v>
      </c>
      <c r="Q85" s="591">
        <v>2200</v>
      </c>
      <c r="R85" s="591">
        <v>2200</v>
      </c>
      <c r="S85" s="591">
        <v>2200</v>
      </c>
      <c r="T85" s="591">
        <v>2200</v>
      </c>
      <c r="U85" s="591">
        <v>2200</v>
      </c>
      <c r="V85" s="598">
        <v>2200</v>
      </c>
      <c r="W85" s="849"/>
      <c r="X85" s="865"/>
      <c r="Y85" s="865"/>
      <c r="Z85" s="865"/>
      <c r="AA85" s="865"/>
      <c r="AB85" s="865"/>
      <c r="AC85" s="865"/>
      <c r="AD85" s="865"/>
      <c r="AE85" s="146"/>
      <c r="AF85" s="146"/>
      <c r="AG85" s="146"/>
      <c r="AH85" s="724"/>
      <c r="AI85" s="860" t="str">
        <f t="shared" si="69"/>
        <v>Si</v>
      </c>
      <c r="AJ85" s="862">
        <f t="shared" si="70"/>
        <v>22000</v>
      </c>
    </row>
    <row r="86" spans="3:36" x14ac:dyDescent="0.3">
      <c r="C86" s="407" t="s">
        <v>116</v>
      </c>
      <c r="D86" s="435" t="s">
        <v>130</v>
      </c>
      <c r="E86" s="405" t="s">
        <v>131</v>
      </c>
      <c r="F86" s="414">
        <v>16000</v>
      </c>
      <c r="G86" s="436">
        <v>46401</v>
      </c>
      <c r="H86" s="421">
        <v>46578</v>
      </c>
      <c r="I86" s="573"/>
      <c r="K86" s="723"/>
      <c r="L86" s="146"/>
      <c r="M86" s="146"/>
      <c r="N86" s="146"/>
      <c r="O86" s="146"/>
      <c r="P86" s="146"/>
      <c r="Q86" s="146"/>
      <c r="R86" s="146"/>
      <c r="S86" s="146"/>
      <c r="T86" s="146"/>
      <c r="U86" s="146"/>
      <c r="V86" s="724"/>
      <c r="W86" s="850">
        <v>2285.7142857142858</v>
      </c>
      <c r="X86" s="591">
        <v>2285.7142857142858</v>
      </c>
      <c r="Y86" s="591">
        <v>2285.7142857142858</v>
      </c>
      <c r="Z86" s="591">
        <v>2285.7142857142858</v>
      </c>
      <c r="AA86" s="591">
        <v>2285.7142857142858</v>
      </c>
      <c r="AB86" s="591">
        <v>2285.7142857142858</v>
      </c>
      <c r="AC86" s="591">
        <v>2285.7142857142858</v>
      </c>
      <c r="AD86" s="146"/>
      <c r="AE86" s="146"/>
      <c r="AF86" s="146"/>
      <c r="AG86" s="146"/>
      <c r="AH86" s="724"/>
      <c r="AI86" s="860" t="str">
        <f t="shared" si="69"/>
        <v>Si</v>
      </c>
      <c r="AJ86" s="862">
        <f t="shared" si="70"/>
        <v>16000.000000000002</v>
      </c>
    </row>
    <row r="87" spans="3:36" x14ac:dyDescent="0.3">
      <c r="C87" s="407" t="s">
        <v>116</v>
      </c>
      <c r="D87" s="435" t="s">
        <v>118</v>
      </c>
      <c r="E87" s="405" t="s">
        <v>132</v>
      </c>
      <c r="F87" s="414">
        <v>10000</v>
      </c>
      <c r="G87" s="436">
        <v>46433</v>
      </c>
      <c r="H87" s="421">
        <v>46305</v>
      </c>
      <c r="I87" s="573"/>
      <c r="K87" s="723"/>
      <c r="L87" s="146"/>
      <c r="M87" s="591">
        <v>2000</v>
      </c>
      <c r="N87" s="591">
        <v>0</v>
      </c>
      <c r="O87" s="591">
        <v>0</v>
      </c>
      <c r="P87" s="591">
        <v>5000</v>
      </c>
      <c r="Q87" s="591">
        <v>0</v>
      </c>
      <c r="R87" s="591">
        <v>3000</v>
      </c>
      <c r="S87" s="146"/>
      <c r="T87" s="146"/>
      <c r="U87" s="146"/>
      <c r="V87" s="724"/>
      <c r="W87" s="849"/>
      <c r="X87" s="710"/>
      <c r="Y87" s="710"/>
      <c r="Z87" s="710"/>
      <c r="AA87" s="710"/>
      <c r="AB87" s="710"/>
      <c r="AC87" s="710"/>
      <c r="AD87" s="710"/>
      <c r="AE87" s="710"/>
      <c r="AF87" s="710"/>
      <c r="AG87" s="146"/>
      <c r="AH87" s="724"/>
      <c r="AI87" s="860" t="str">
        <f t="shared" si="69"/>
        <v>Si</v>
      </c>
      <c r="AJ87" s="862">
        <f t="shared" si="70"/>
        <v>10000</v>
      </c>
    </row>
    <row r="88" spans="3:36" ht="15" thickBot="1" x14ac:dyDescent="0.35">
      <c r="C88" s="426" t="s">
        <v>116</v>
      </c>
      <c r="D88" s="429" t="s">
        <v>118</v>
      </c>
      <c r="E88" s="427" t="s">
        <v>133</v>
      </c>
      <c r="F88" s="428">
        <v>6000</v>
      </c>
      <c r="G88" s="447">
        <v>46440</v>
      </c>
      <c r="H88" s="402">
        <v>46618</v>
      </c>
      <c r="I88" s="573"/>
      <c r="K88" s="723"/>
      <c r="L88" s="146"/>
      <c r="M88" s="146"/>
      <c r="N88" s="146"/>
      <c r="O88" s="146"/>
      <c r="P88" s="146"/>
      <c r="Q88" s="146"/>
      <c r="R88" s="146"/>
      <c r="S88" s="146"/>
      <c r="T88" s="146"/>
      <c r="U88" s="146"/>
      <c r="V88" s="724"/>
      <c r="W88" s="849"/>
      <c r="X88" s="591">
        <v>857.14285714285711</v>
      </c>
      <c r="Y88" s="591">
        <v>857.14285714285711</v>
      </c>
      <c r="Z88" s="591">
        <v>857.14285714285711</v>
      </c>
      <c r="AA88" s="591">
        <v>857.14285714285711</v>
      </c>
      <c r="AB88" s="591">
        <v>857.14285714285711</v>
      </c>
      <c r="AC88" s="591">
        <v>857.14285714285711</v>
      </c>
      <c r="AD88" s="591">
        <v>857.14285714285711</v>
      </c>
      <c r="AE88" s="146"/>
      <c r="AF88" s="146"/>
      <c r="AG88" s="146"/>
      <c r="AH88" s="724"/>
      <c r="AI88" s="860" t="str">
        <f t="shared" si="69"/>
        <v>Si</v>
      </c>
      <c r="AJ88" s="862">
        <f t="shared" si="70"/>
        <v>5999.9999999999991</v>
      </c>
    </row>
    <row r="89" spans="3:36" ht="15" thickBot="1" x14ac:dyDescent="0.35">
      <c r="E89" s="462" t="s">
        <v>26</v>
      </c>
      <c r="F89" s="463">
        <f>SUM(F78:F88)</f>
        <v>182500</v>
      </c>
      <c r="K89" s="739">
        <f>+SUM(K78:K88)</f>
        <v>0</v>
      </c>
      <c r="L89" s="738">
        <f t="shared" ref="L89:V89" si="71">+SUM(L78:L88)</f>
        <v>0</v>
      </c>
      <c r="M89" s="738">
        <f t="shared" si="71"/>
        <v>4200</v>
      </c>
      <c r="N89" s="738">
        <f t="shared" si="71"/>
        <v>5628.5714285714284</v>
      </c>
      <c r="O89" s="738">
        <f t="shared" si="71"/>
        <v>9628.5714285714275</v>
      </c>
      <c r="P89" s="738">
        <f t="shared" si="71"/>
        <v>10628.571428571428</v>
      </c>
      <c r="Q89" s="738">
        <f t="shared" si="71"/>
        <v>5628.5714285714284</v>
      </c>
      <c r="R89" s="738">
        <f t="shared" si="71"/>
        <v>21028.571428571428</v>
      </c>
      <c r="S89" s="738">
        <f t="shared" si="71"/>
        <v>5628.5714285714284</v>
      </c>
      <c r="T89" s="738">
        <f t="shared" si="71"/>
        <v>5628.5714285714284</v>
      </c>
      <c r="U89" s="738">
        <f t="shared" si="71"/>
        <v>15000</v>
      </c>
      <c r="V89" s="853">
        <f t="shared" si="71"/>
        <v>4200</v>
      </c>
      <c r="W89" s="739">
        <f>+SUM(W78:W88)</f>
        <v>9428.5714285714294</v>
      </c>
      <c r="X89" s="738">
        <f t="shared" ref="X89" si="72">+SUM(X78:X88)</f>
        <v>17871.428571428572</v>
      </c>
      <c r="Y89" s="738">
        <f t="shared" ref="Y89" si="73">+SUM(Y78:Y88)</f>
        <v>11071.428571428572</v>
      </c>
      <c r="Z89" s="738">
        <f t="shared" ref="Z89" si="74">+SUM(Z78:Z88)</f>
        <v>11071.428571428572</v>
      </c>
      <c r="AA89" s="738">
        <f t="shared" ref="AA89" si="75">+SUM(AA78:AA88)</f>
        <v>11071.428571428572</v>
      </c>
      <c r="AB89" s="738">
        <f t="shared" ref="AB89" si="76">+SUM(AB78:AB88)</f>
        <v>11071.428571428572</v>
      </c>
      <c r="AC89" s="738">
        <f t="shared" ref="AC89" si="77">+SUM(AC78:AC88)</f>
        <v>11071.428571428572</v>
      </c>
      <c r="AD89" s="738">
        <f t="shared" ref="AD89" si="78">+SUM(AD78:AD88)</f>
        <v>6642.8571428571431</v>
      </c>
      <c r="AE89" s="738">
        <f t="shared" ref="AE89" si="79">+SUM(AE78:AE88)</f>
        <v>3000</v>
      </c>
      <c r="AF89" s="738">
        <f t="shared" ref="AF89" si="80">+SUM(AF78:AF88)</f>
        <v>3000</v>
      </c>
      <c r="AG89" s="738">
        <f t="shared" ref="AG89" si="81">+SUM(AG78:AG88)</f>
        <v>0</v>
      </c>
      <c r="AH89" s="853">
        <f t="shared" ref="AH89" si="82">+SUM(AH78:AH88)</f>
        <v>0</v>
      </c>
      <c r="AI89" s="861"/>
    </row>
    <row r="90" spans="3:36" ht="15" thickBot="1" x14ac:dyDescent="0.35">
      <c r="E90" s="857"/>
      <c r="F90" s="858"/>
      <c r="G90" s="859"/>
      <c r="K90" s="971">
        <f>+SUM(K89:V89)</f>
        <v>87200</v>
      </c>
      <c r="L90" s="972"/>
      <c r="M90" s="972"/>
      <c r="N90" s="972"/>
      <c r="O90" s="972"/>
      <c r="P90" s="972"/>
      <c r="Q90" s="972"/>
      <c r="R90" s="972"/>
      <c r="S90" s="972"/>
      <c r="T90" s="972"/>
      <c r="U90" s="972"/>
      <c r="V90" s="973"/>
      <c r="W90" s="971">
        <f>+SUM(W89:AH89)</f>
        <v>95300.000000000015</v>
      </c>
      <c r="X90" s="972"/>
      <c r="Y90" s="972"/>
      <c r="Z90" s="972"/>
      <c r="AA90" s="972"/>
      <c r="AB90" s="972"/>
      <c r="AC90" s="972"/>
      <c r="AD90" s="972"/>
      <c r="AE90" s="972"/>
      <c r="AF90" s="972"/>
      <c r="AG90" s="972"/>
      <c r="AH90" s="973"/>
      <c r="AI90" s="860" t="str">
        <f>IF(SUM(K90:AH90)=F89,"Si","No")</f>
        <v>Si</v>
      </c>
      <c r="AJ90" s="864">
        <f>+SUM(K90:AH90)</f>
        <v>182500</v>
      </c>
    </row>
    <row r="91" spans="3:36" x14ac:dyDescent="0.3">
      <c r="C91" s="958" t="s">
        <v>0</v>
      </c>
      <c r="D91" s="959"/>
      <c r="E91" s="417" t="s">
        <v>1</v>
      </c>
      <c r="F91" s="417" t="s">
        <v>2</v>
      </c>
      <c r="G91" s="418" t="s">
        <v>3</v>
      </c>
      <c r="K91" s="946"/>
      <c r="L91" s="947"/>
      <c r="M91" s="947"/>
      <c r="N91" s="947"/>
      <c r="O91" s="947"/>
      <c r="P91" s="947"/>
      <c r="Q91" s="947"/>
      <c r="R91" s="947"/>
      <c r="S91" s="947"/>
      <c r="T91" s="947"/>
      <c r="U91" s="947"/>
      <c r="V91" s="947"/>
      <c r="W91" s="968"/>
      <c r="X91" s="969"/>
      <c r="Y91" s="969"/>
      <c r="Z91" s="969"/>
      <c r="AA91" s="969"/>
      <c r="AB91" s="969"/>
      <c r="AC91" s="969"/>
      <c r="AD91" s="969"/>
      <c r="AE91" s="969"/>
      <c r="AF91" s="969"/>
      <c r="AG91" s="969"/>
      <c r="AH91" s="970"/>
      <c r="AI91" s="861"/>
    </row>
    <row r="92" spans="3:36" ht="50.4" customHeight="1" thickBot="1" x14ac:dyDescent="0.35">
      <c r="C92" s="966" t="s">
        <v>134</v>
      </c>
      <c r="D92" s="967"/>
      <c r="E92" s="19" t="s">
        <v>135</v>
      </c>
      <c r="F92" s="55">
        <v>45839</v>
      </c>
      <c r="G92" s="395">
        <v>46568</v>
      </c>
      <c r="K92" s="949"/>
      <c r="L92" s="950"/>
      <c r="M92" s="950"/>
      <c r="N92" s="950"/>
      <c r="O92" s="950"/>
      <c r="P92" s="950"/>
      <c r="Q92" s="950"/>
      <c r="R92" s="950"/>
      <c r="S92" s="950"/>
      <c r="T92" s="950"/>
      <c r="U92" s="950"/>
      <c r="V92" s="950"/>
      <c r="W92" s="949"/>
      <c r="X92" s="950"/>
      <c r="Y92" s="950"/>
      <c r="Z92" s="950"/>
      <c r="AA92" s="950"/>
      <c r="AB92" s="950"/>
      <c r="AC92" s="950"/>
      <c r="AD92" s="950"/>
      <c r="AE92" s="950"/>
      <c r="AF92" s="950"/>
      <c r="AG92" s="950"/>
      <c r="AH92" s="951"/>
      <c r="AI92" s="861"/>
    </row>
    <row r="93" spans="3:36" ht="57.6" hidden="1" customHeight="1" thickBot="1" x14ac:dyDescent="0.35">
      <c r="C93" s="954" t="s">
        <v>136</v>
      </c>
      <c r="D93" s="955"/>
      <c r="E93" s="2" t="s">
        <v>137</v>
      </c>
      <c r="F93" s="56">
        <v>45870</v>
      </c>
      <c r="G93" s="419">
        <v>46142</v>
      </c>
      <c r="K93" s="723"/>
      <c r="L93" s="146"/>
      <c r="M93" s="146"/>
      <c r="N93" s="146"/>
      <c r="O93" s="146"/>
      <c r="P93" s="146"/>
      <c r="Q93" s="146"/>
      <c r="R93" s="146"/>
      <c r="S93" s="146"/>
      <c r="T93" s="146"/>
      <c r="U93" s="146"/>
      <c r="V93" s="729"/>
      <c r="W93" s="723"/>
      <c r="X93" s="146"/>
      <c r="Y93" s="146"/>
      <c r="Z93" s="146"/>
      <c r="AA93" s="146"/>
      <c r="AB93" s="146"/>
      <c r="AC93" s="146"/>
      <c r="AD93" s="146"/>
      <c r="AE93" s="146"/>
      <c r="AF93" s="146"/>
      <c r="AG93" s="146"/>
      <c r="AH93" s="724"/>
      <c r="AI93" s="861"/>
    </row>
    <row r="94" spans="3:36" ht="15" hidden="1" thickBot="1" x14ac:dyDescent="0.35">
      <c r="C94" s="952" t="s">
        <v>138</v>
      </c>
      <c r="D94" s="953"/>
      <c r="E94" s="46" t="s">
        <v>139</v>
      </c>
      <c r="F94" s="49">
        <v>45884</v>
      </c>
      <c r="G94" s="420">
        <v>46142</v>
      </c>
      <c r="K94" s="723"/>
      <c r="L94" s="146"/>
      <c r="M94" s="146"/>
      <c r="N94" s="146"/>
      <c r="O94" s="146"/>
      <c r="P94" s="146"/>
      <c r="Q94" s="146"/>
      <c r="R94" s="146"/>
      <c r="S94" s="146"/>
      <c r="T94" s="146"/>
      <c r="U94" s="146"/>
      <c r="V94" s="729"/>
      <c r="W94" s="723"/>
      <c r="X94" s="146"/>
      <c r="Y94" s="146"/>
      <c r="Z94" s="146"/>
      <c r="AA94" s="146"/>
      <c r="AB94" s="146"/>
      <c r="AC94" s="146"/>
      <c r="AD94" s="146"/>
      <c r="AE94" s="146"/>
      <c r="AF94" s="146"/>
      <c r="AG94" s="146"/>
      <c r="AH94" s="724"/>
      <c r="AI94" s="861"/>
    </row>
    <row r="95" spans="3:36" ht="15" hidden="1" thickBot="1" x14ac:dyDescent="0.35">
      <c r="C95" s="952" t="s">
        <v>140</v>
      </c>
      <c r="D95" s="953"/>
      <c r="E95" s="46" t="s">
        <v>141</v>
      </c>
      <c r="F95" s="49">
        <v>45884</v>
      </c>
      <c r="G95" s="421">
        <v>46053</v>
      </c>
      <c r="K95" s="723"/>
      <c r="L95" s="146"/>
      <c r="M95" s="146"/>
      <c r="N95" s="146"/>
      <c r="O95" s="146"/>
      <c r="P95" s="146"/>
      <c r="Q95" s="146"/>
      <c r="R95" s="146"/>
      <c r="S95" s="146"/>
      <c r="T95" s="146"/>
      <c r="U95" s="146"/>
      <c r="V95" s="729"/>
      <c r="W95" s="723"/>
      <c r="X95" s="146"/>
      <c r="Y95" s="146"/>
      <c r="Z95" s="146"/>
      <c r="AA95" s="146"/>
      <c r="AB95" s="146"/>
      <c r="AC95" s="146"/>
      <c r="AD95" s="146"/>
      <c r="AE95" s="146"/>
      <c r="AF95" s="146"/>
      <c r="AG95" s="146"/>
      <c r="AH95" s="724"/>
      <c r="AI95" s="861"/>
    </row>
    <row r="96" spans="3:36" ht="15" hidden="1" thickBot="1" x14ac:dyDescent="0.35">
      <c r="C96" s="952" t="s">
        <v>142</v>
      </c>
      <c r="D96" s="953"/>
      <c r="E96" s="46" t="s">
        <v>143</v>
      </c>
      <c r="F96" s="49">
        <v>45870</v>
      </c>
      <c r="G96" s="420">
        <v>46081</v>
      </c>
      <c r="K96" s="723"/>
      <c r="L96" s="146"/>
      <c r="M96" s="146"/>
      <c r="N96" s="146"/>
      <c r="O96" s="146"/>
      <c r="P96" s="146"/>
      <c r="Q96" s="146"/>
      <c r="R96" s="146"/>
      <c r="S96" s="146"/>
      <c r="T96" s="146"/>
      <c r="U96" s="146"/>
      <c r="V96" s="729"/>
      <c r="W96" s="723"/>
      <c r="X96" s="146"/>
      <c r="Y96" s="146"/>
      <c r="Z96" s="146"/>
      <c r="AA96" s="146"/>
      <c r="AB96" s="146"/>
      <c r="AC96" s="146"/>
      <c r="AD96" s="146"/>
      <c r="AE96" s="146"/>
      <c r="AF96" s="146"/>
      <c r="AG96" s="146"/>
      <c r="AH96" s="724"/>
      <c r="AI96" s="861"/>
    </row>
    <row r="97" spans="3:36" ht="15" hidden="1" thickBot="1" x14ac:dyDescent="0.35">
      <c r="C97" s="952" t="s">
        <v>144</v>
      </c>
      <c r="D97" s="953"/>
      <c r="E97" s="46" t="s">
        <v>145</v>
      </c>
      <c r="F97" s="49">
        <v>46037</v>
      </c>
      <c r="G97" s="420">
        <v>46127</v>
      </c>
      <c r="K97" s="723"/>
      <c r="L97" s="146"/>
      <c r="M97" s="146"/>
      <c r="N97" s="146"/>
      <c r="O97" s="146"/>
      <c r="P97" s="146"/>
      <c r="Q97" s="146"/>
      <c r="R97" s="146"/>
      <c r="S97" s="146"/>
      <c r="T97" s="146"/>
      <c r="U97" s="146"/>
      <c r="V97" s="729"/>
      <c r="W97" s="723"/>
      <c r="X97" s="146"/>
      <c r="Y97" s="146"/>
      <c r="Z97" s="146"/>
      <c r="AA97" s="146"/>
      <c r="AB97" s="146"/>
      <c r="AC97" s="146"/>
      <c r="AD97" s="146"/>
      <c r="AE97" s="146"/>
      <c r="AF97" s="146"/>
      <c r="AG97" s="146"/>
      <c r="AH97" s="724"/>
      <c r="AI97" s="861"/>
    </row>
    <row r="98" spans="3:36" ht="72.599999999999994" hidden="1" thickBot="1" x14ac:dyDescent="0.35">
      <c r="C98" s="954" t="s">
        <v>146</v>
      </c>
      <c r="D98" s="955"/>
      <c r="E98" s="2" t="s">
        <v>147</v>
      </c>
      <c r="F98" s="56">
        <v>45839</v>
      </c>
      <c r="G98" s="419">
        <v>46553</v>
      </c>
      <c r="K98" s="723"/>
      <c r="L98" s="146"/>
      <c r="M98" s="146"/>
      <c r="N98" s="146"/>
      <c r="O98" s="146"/>
      <c r="P98" s="146"/>
      <c r="Q98" s="146"/>
      <c r="R98" s="146"/>
      <c r="S98" s="146"/>
      <c r="T98" s="146"/>
      <c r="U98" s="146"/>
      <c r="V98" s="729"/>
      <c r="W98" s="723"/>
      <c r="X98" s="146"/>
      <c r="Y98" s="146"/>
      <c r="Z98" s="146"/>
      <c r="AA98" s="146"/>
      <c r="AB98" s="146"/>
      <c r="AC98" s="146"/>
      <c r="AD98" s="146"/>
      <c r="AE98" s="146"/>
      <c r="AF98" s="146"/>
      <c r="AG98" s="146"/>
      <c r="AH98" s="724"/>
      <c r="AI98" s="861"/>
    </row>
    <row r="99" spans="3:36" ht="15" hidden="1" thickBot="1" x14ac:dyDescent="0.35">
      <c r="C99" s="952" t="s">
        <v>148</v>
      </c>
      <c r="D99" s="953"/>
      <c r="E99" s="46" t="s">
        <v>149</v>
      </c>
      <c r="F99" s="49">
        <v>45901</v>
      </c>
      <c r="G99" s="420">
        <v>46553</v>
      </c>
      <c r="K99" s="723"/>
      <c r="L99" s="146"/>
      <c r="M99" s="146"/>
      <c r="N99" s="146"/>
      <c r="O99" s="146"/>
      <c r="P99" s="146"/>
      <c r="Q99" s="146"/>
      <c r="R99" s="146"/>
      <c r="S99" s="146"/>
      <c r="T99" s="146"/>
      <c r="U99" s="146"/>
      <c r="V99" s="729"/>
      <c r="W99" s="723"/>
      <c r="X99" s="146"/>
      <c r="Y99" s="146"/>
      <c r="Z99" s="146"/>
      <c r="AA99" s="146"/>
      <c r="AB99" s="146"/>
      <c r="AC99" s="146"/>
      <c r="AD99" s="146"/>
      <c r="AE99" s="146"/>
      <c r="AF99" s="146"/>
      <c r="AG99" s="146"/>
      <c r="AH99" s="724"/>
      <c r="AI99" s="861"/>
    </row>
    <row r="100" spans="3:36" ht="29.4" hidden="1" thickBot="1" x14ac:dyDescent="0.35">
      <c r="C100" s="952" t="s">
        <v>150</v>
      </c>
      <c r="D100" s="953"/>
      <c r="E100" s="394" t="s">
        <v>151</v>
      </c>
      <c r="F100" s="49">
        <v>46143</v>
      </c>
      <c r="G100" s="420">
        <v>46522</v>
      </c>
      <c r="K100" s="723"/>
      <c r="L100" s="146"/>
      <c r="M100" s="146"/>
      <c r="N100" s="146"/>
      <c r="O100" s="146"/>
      <c r="P100" s="146"/>
      <c r="Q100" s="146"/>
      <c r="R100" s="146"/>
      <c r="S100" s="146"/>
      <c r="T100" s="146"/>
      <c r="U100" s="146"/>
      <c r="V100" s="729"/>
      <c r="W100" s="723"/>
      <c r="X100" s="146"/>
      <c r="Y100" s="146"/>
      <c r="Z100" s="146"/>
      <c r="AA100" s="146"/>
      <c r="AB100" s="146"/>
      <c r="AC100" s="146"/>
      <c r="AD100" s="146"/>
      <c r="AE100" s="146"/>
      <c r="AF100" s="146"/>
      <c r="AG100" s="146"/>
      <c r="AH100" s="724"/>
      <c r="AI100" s="861"/>
    </row>
    <row r="101" spans="3:36" ht="29.4" hidden="1" thickBot="1" x14ac:dyDescent="0.35">
      <c r="C101" s="952" t="s">
        <v>152</v>
      </c>
      <c r="D101" s="953"/>
      <c r="E101" s="394" t="s">
        <v>153</v>
      </c>
      <c r="F101" s="49">
        <v>46082</v>
      </c>
      <c r="G101" s="420">
        <v>46553</v>
      </c>
      <c r="K101" s="723"/>
      <c r="L101" s="146"/>
      <c r="M101" s="146"/>
      <c r="N101" s="146"/>
      <c r="O101" s="146"/>
      <c r="P101" s="146"/>
      <c r="Q101" s="146"/>
      <c r="R101" s="146"/>
      <c r="S101" s="146"/>
      <c r="T101" s="146"/>
      <c r="U101" s="146"/>
      <c r="V101" s="729"/>
      <c r="W101" s="723"/>
      <c r="X101" s="146"/>
      <c r="Y101" s="146"/>
      <c r="Z101" s="146"/>
      <c r="AA101" s="146"/>
      <c r="AB101" s="146"/>
      <c r="AC101" s="146"/>
      <c r="AD101" s="146"/>
      <c r="AE101" s="146"/>
      <c r="AF101" s="146"/>
      <c r="AG101" s="146"/>
      <c r="AH101" s="724"/>
      <c r="AI101" s="861"/>
    </row>
    <row r="102" spans="3:36" ht="29.4" hidden="1" thickBot="1" x14ac:dyDescent="0.35">
      <c r="C102" s="952" t="s">
        <v>154</v>
      </c>
      <c r="D102" s="953"/>
      <c r="E102" s="394" t="s">
        <v>155</v>
      </c>
      <c r="F102" s="49">
        <v>45839</v>
      </c>
      <c r="G102" s="420">
        <v>46537</v>
      </c>
      <c r="K102" s="723"/>
      <c r="L102" s="146"/>
      <c r="M102" s="146"/>
      <c r="N102" s="146"/>
      <c r="O102" s="146"/>
      <c r="P102" s="146"/>
      <c r="Q102" s="146"/>
      <c r="R102" s="146"/>
      <c r="S102" s="146"/>
      <c r="T102" s="146"/>
      <c r="U102" s="146"/>
      <c r="V102" s="729"/>
      <c r="W102" s="723"/>
      <c r="X102" s="146"/>
      <c r="Y102" s="146"/>
      <c r="Z102" s="146"/>
      <c r="AA102" s="146"/>
      <c r="AB102" s="146"/>
      <c r="AC102" s="146"/>
      <c r="AD102" s="146"/>
      <c r="AE102" s="146"/>
      <c r="AF102" s="146"/>
      <c r="AG102" s="146"/>
      <c r="AH102" s="724"/>
      <c r="AI102" s="861"/>
    </row>
    <row r="103" spans="3:36" ht="29.4" hidden="1" thickBot="1" x14ac:dyDescent="0.35">
      <c r="C103" s="952" t="s">
        <v>156</v>
      </c>
      <c r="D103" s="953"/>
      <c r="E103" s="394" t="s">
        <v>157</v>
      </c>
      <c r="F103" s="49">
        <v>45839</v>
      </c>
      <c r="G103" s="420">
        <v>46537</v>
      </c>
      <c r="K103" s="723"/>
      <c r="L103" s="146"/>
      <c r="M103" s="146"/>
      <c r="N103" s="146"/>
      <c r="O103" s="146"/>
      <c r="P103" s="146"/>
      <c r="Q103" s="146"/>
      <c r="R103" s="146"/>
      <c r="S103" s="146"/>
      <c r="T103" s="146"/>
      <c r="U103" s="146"/>
      <c r="V103" s="729"/>
      <c r="W103" s="723"/>
      <c r="X103" s="146"/>
      <c r="Y103" s="146"/>
      <c r="Z103" s="146"/>
      <c r="AA103" s="146"/>
      <c r="AB103" s="146"/>
      <c r="AC103" s="146"/>
      <c r="AD103" s="146"/>
      <c r="AE103" s="146"/>
      <c r="AF103" s="146"/>
      <c r="AG103" s="146"/>
      <c r="AH103" s="724"/>
      <c r="AI103" s="861"/>
    </row>
    <row r="104" spans="3:36" ht="29.4" hidden="1" thickBot="1" x14ac:dyDescent="0.35">
      <c r="C104" s="952" t="s">
        <v>158</v>
      </c>
      <c r="D104" s="953"/>
      <c r="E104" s="394" t="s">
        <v>159</v>
      </c>
      <c r="F104" s="49">
        <v>45839</v>
      </c>
      <c r="G104" s="420">
        <v>46537</v>
      </c>
      <c r="K104" s="723"/>
      <c r="L104" s="146"/>
      <c r="M104" s="146"/>
      <c r="N104" s="146"/>
      <c r="O104" s="146"/>
      <c r="P104" s="146"/>
      <c r="Q104" s="146"/>
      <c r="R104" s="146"/>
      <c r="S104" s="146"/>
      <c r="T104" s="146"/>
      <c r="U104" s="146"/>
      <c r="V104" s="729"/>
      <c r="W104" s="723"/>
      <c r="X104" s="146"/>
      <c r="Y104" s="146"/>
      <c r="Z104" s="146"/>
      <c r="AA104" s="146"/>
      <c r="AB104" s="146"/>
      <c r="AC104" s="146"/>
      <c r="AD104" s="146"/>
      <c r="AE104" s="146"/>
      <c r="AF104" s="146"/>
      <c r="AG104" s="146"/>
      <c r="AH104" s="724"/>
      <c r="AI104" s="861"/>
    </row>
    <row r="105" spans="3:36" ht="29.4" hidden="1" thickBot="1" x14ac:dyDescent="0.35">
      <c r="C105" s="952" t="s">
        <v>160</v>
      </c>
      <c r="D105" s="953"/>
      <c r="E105" s="394" t="s">
        <v>161</v>
      </c>
      <c r="F105" s="49">
        <v>45839</v>
      </c>
      <c r="G105" s="420">
        <v>46537</v>
      </c>
      <c r="K105" s="723"/>
      <c r="L105" s="146"/>
      <c r="M105" s="146"/>
      <c r="N105" s="146"/>
      <c r="O105" s="146"/>
      <c r="P105" s="146"/>
      <c r="Q105" s="146"/>
      <c r="R105" s="146"/>
      <c r="S105" s="146"/>
      <c r="T105" s="146"/>
      <c r="U105" s="146"/>
      <c r="V105" s="729"/>
      <c r="W105" s="723"/>
      <c r="X105" s="146"/>
      <c r="Y105" s="146"/>
      <c r="Z105" s="146"/>
      <c r="AA105" s="146"/>
      <c r="AB105" s="146"/>
      <c r="AC105" s="146"/>
      <c r="AD105" s="146"/>
      <c r="AE105" s="146"/>
      <c r="AF105" s="146"/>
      <c r="AG105" s="146"/>
      <c r="AH105" s="724"/>
      <c r="AI105" s="861"/>
    </row>
    <row r="106" spans="3:36" ht="29.4" hidden="1" thickBot="1" x14ac:dyDescent="0.35">
      <c r="C106" s="960" t="s">
        <v>162</v>
      </c>
      <c r="D106" s="961"/>
      <c r="E106" s="423" t="s">
        <v>163</v>
      </c>
      <c r="F106" s="424">
        <v>45839</v>
      </c>
      <c r="G106" s="425">
        <v>46537</v>
      </c>
      <c r="K106" s="723"/>
      <c r="L106" s="146"/>
      <c r="M106" s="146"/>
      <c r="N106" s="146"/>
      <c r="O106" s="146"/>
      <c r="P106" s="146"/>
      <c r="Q106" s="146"/>
      <c r="R106" s="146"/>
      <c r="S106" s="146"/>
      <c r="T106" s="146"/>
      <c r="U106" s="146"/>
      <c r="V106" s="729"/>
      <c r="W106" s="723"/>
      <c r="X106" s="146"/>
      <c r="Y106" s="146"/>
      <c r="Z106" s="146"/>
      <c r="AA106" s="146"/>
      <c r="AB106" s="146"/>
      <c r="AC106" s="146"/>
      <c r="AD106" s="146"/>
      <c r="AE106" s="146"/>
      <c r="AF106" s="146"/>
      <c r="AG106" s="146"/>
      <c r="AH106" s="724"/>
      <c r="AI106" s="861"/>
    </row>
    <row r="107" spans="3:36" x14ac:dyDescent="0.3">
      <c r="C107" s="416" t="s">
        <v>0</v>
      </c>
      <c r="D107" s="417" t="s">
        <v>6</v>
      </c>
      <c r="E107" s="417" t="s">
        <v>7</v>
      </c>
      <c r="F107" s="417" t="s">
        <v>8</v>
      </c>
      <c r="G107" s="417" t="s">
        <v>9</v>
      </c>
      <c r="H107" s="418" t="s">
        <v>10</v>
      </c>
      <c r="K107" s="946"/>
      <c r="L107" s="947"/>
      <c r="M107" s="947"/>
      <c r="N107" s="947"/>
      <c r="O107" s="947"/>
      <c r="P107" s="947"/>
      <c r="Q107" s="947"/>
      <c r="R107" s="947"/>
      <c r="S107" s="947"/>
      <c r="T107" s="947"/>
      <c r="U107" s="947"/>
      <c r="V107" s="947"/>
      <c r="W107" s="946"/>
      <c r="X107" s="947"/>
      <c r="Y107" s="947"/>
      <c r="Z107" s="947"/>
      <c r="AA107" s="947"/>
      <c r="AB107" s="947"/>
      <c r="AC107" s="947"/>
      <c r="AD107" s="947"/>
      <c r="AE107" s="947"/>
      <c r="AF107" s="947"/>
      <c r="AG107" s="947"/>
      <c r="AH107" s="948"/>
      <c r="AI107" s="861"/>
    </row>
    <row r="108" spans="3:36" ht="28.8" x14ac:dyDescent="0.3">
      <c r="C108" s="43" t="s">
        <v>148</v>
      </c>
      <c r="D108" s="435" t="s">
        <v>164</v>
      </c>
      <c r="E108" s="515" t="s">
        <v>165</v>
      </c>
      <c r="F108" s="414">
        <v>200000</v>
      </c>
      <c r="G108" s="36">
        <v>46423</v>
      </c>
      <c r="H108" s="421">
        <v>46601</v>
      </c>
      <c r="I108" s="573"/>
      <c r="K108" s="723"/>
      <c r="L108" s="146"/>
      <c r="M108" s="146"/>
      <c r="N108" s="146"/>
      <c r="O108" s="146"/>
      <c r="P108" s="146"/>
      <c r="Q108" s="146"/>
      <c r="R108" s="146"/>
      <c r="S108" s="146"/>
      <c r="T108" s="146"/>
      <c r="U108" s="146"/>
      <c r="V108" s="729"/>
      <c r="W108" s="723"/>
      <c r="X108" s="591">
        <v>28571.428571428572</v>
      </c>
      <c r="Y108" s="591">
        <v>28571.428571428572</v>
      </c>
      <c r="Z108" s="591">
        <v>28571.428571428572</v>
      </c>
      <c r="AA108" s="591">
        <v>28571.428571428572</v>
      </c>
      <c r="AB108" s="591">
        <v>28571.428571428572</v>
      </c>
      <c r="AC108" s="591">
        <v>28571.428571428572</v>
      </c>
      <c r="AD108" s="591">
        <v>28571.428571428572</v>
      </c>
      <c r="AE108" s="146"/>
      <c r="AF108" s="146"/>
      <c r="AG108" s="146"/>
      <c r="AH108" s="724"/>
      <c r="AI108" s="860" t="str">
        <f t="shared" ref="AI108:AI127" si="83">IF(SUM(K108:AH108)=F108,"Si","No")</f>
        <v>Si</v>
      </c>
      <c r="AJ108" s="862">
        <f t="shared" ref="AJ108:AJ127" si="84">+SUM(K108:AH108)</f>
        <v>200000.00000000003</v>
      </c>
    </row>
    <row r="109" spans="3:36" ht="43.2" x14ac:dyDescent="0.3">
      <c r="C109" s="43" t="s">
        <v>166</v>
      </c>
      <c r="D109" s="435" t="s">
        <v>167</v>
      </c>
      <c r="E109" s="515" t="s">
        <v>168</v>
      </c>
      <c r="F109" s="414">
        <v>125000</v>
      </c>
      <c r="G109" s="36">
        <v>46115</v>
      </c>
      <c r="H109" s="421">
        <v>46326</v>
      </c>
      <c r="I109" s="585"/>
      <c r="K109" s="723"/>
      <c r="L109" s="146"/>
      <c r="M109" s="146"/>
      <c r="N109" s="591">
        <v>25000</v>
      </c>
      <c r="O109" s="591">
        <v>0</v>
      </c>
      <c r="P109" s="591">
        <v>37500</v>
      </c>
      <c r="Q109" s="591">
        <v>0</v>
      </c>
      <c r="R109" s="591">
        <v>37500</v>
      </c>
      <c r="S109" s="591">
        <v>0</v>
      </c>
      <c r="T109" s="591">
        <v>25000</v>
      </c>
      <c r="U109" s="146"/>
      <c r="V109" s="729"/>
      <c r="W109" s="723"/>
      <c r="X109" s="146"/>
      <c r="Y109" s="146"/>
      <c r="Z109" s="146"/>
      <c r="AA109" s="146"/>
      <c r="AB109" s="146"/>
      <c r="AC109" s="146"/>
      <c r="AD109" s="146"/>
      <c r="AE109" s="146"/>
      <c r="AF109" s="146"/>
      <c r="AG109" s="146"/>
      <c r="AH109" s="724"/>
      <c r="AI109" s="860" t="str">
        <f t="shared" si="83"/>
        <v>Si</v>
      </c>
      <c r="AJ109" s="862">
        <f t="shared" si="84"/>
        <v>125000</v>
      </c>
    </row>
    <row r="110" spans="3:36" s="491" customFormat="1" ht="28.8" x14ac:dyDescent="0.3">
      <c r="C110" s="48" t="s">
        <v>169</v>
      </c>
      <c r="D110" s="435" t="s">
        <v>170</v>
      </c>
      <c r="E110" s="737" t="s">
        <v>171</v>
      </c>
      <c r="F110" s="413">
        <v>40000</v>
      </c>
      <c r="G110" s="531">
        <v>46262</v>
      </c>
      <c r="H110" s="532">
        <v>46535</v>
      </c>
      <c r="K110" s="711"/>
      <c r="L110" s="710"/>
      <c r="M110" s="710"/>
      <c r="N110" s="710"/>
      <c r="O110" s="710"/>
      <c r="P110" s="710"/>
      <c r="Q110" s="710"/>
      <c r="R110" s="591">
        <v>8000</v>
      </c>
      <c r="S110" s="591">
        <v>0</v>
      </c>
      <c r="T110" s="591">
        <v>0</v>
      </c>
      <c r="U110" s="591">
        <v>0</v>
      </c>
      <c r="V110" s="716">
        <v>16000</v>
      </c>
      <c r="W110" s="597">
        <v>0</v>
      </c>
      <c r="X110" s="591">
        <v>0</v>
      </c>
      <c r="Y110" s="591">
        <v>0</v>
      </c>
      <c r="Z110" s="591">
        <v>0</v>
      </c>
      <c r="AA110" s="591">
        <v>16000</v>
      </c>
      <c r="AB110" s="710"/>
      <c r="AC110" s="710"/>
      <c r="AD110" s="710"/>
      <c r="AE110" s="710"/>
      <c r="AF110" s="710"/>
      <c r="AG110" s="710"/>
      <c r="AH110" s="712"/>
      <c r="AI110" s="860" t="str">
        <f t="shared" si="83"/>
        <v>Si</v>
      </c>
      <c r="AJ110" s="862">
        <f t="shared" si="84"/>
        <v>40000</v>
      </c>
    </row>
    <row r="111" spans="3:36" s="491" customFormat="1" ht="28.8" x14ac:dyDescent="0.3">
      <c r="C111" s="48" t="s">
        <v>169</v>
      </c>
      <c r="D111" s="435" t="s">
        <v>170</v>
      </c>
      <c r="E111" s="737" t="s">
        <v>172</v>
      </c>
      <c r="F111" s="413">
        <v>125000</v>
      </c>
      <c r="G111" s="531">
        <v>46315</v>
      </c>
      <c r="H111" s="532">
        <v>46495</v>
      </c>
      <c r="K111" s="711"/>
      <c r="L111" s="710"/>
      <c r="M111" s="710"/>
      <c r="N111" s="710"/>
      <c r="O111" s="710"/>
      <c r="P111" s="710"/>
      <c r="Q111" s="710"/>
      <c r="R111" s="710"/>
      <c r="S111" s="710"/>
      <c r="T111" s="710"/>
      <c r="U111" s="710"/>
      <c r="V111" s="730"/>
      <c r="W111" s="597">
        <v>25000</v>
      </c>
      <c r="X111" s="591">
        <v>0</v>
      </c>
      <c r="Y111" s="716">
        <v>0</v>
      </c>
      <c r="Z111" s="591">
        <v>75000</v>
      </c>
      <c r="AA111" s="591">
        <v>0</v>
      </c>
      <c r="AB111" s="591">
        <v>0</v>
      </c>
      <c r="AC111" s="591">
        <v>25000</v>
      </c>
      <c r="AD111" s="710"/>
      <c r="AE111" s="710"/>
      <c r="AF111" s="710"/>
      <c r="AG111" s="710"/>
      <c r="AH111" s="712"/>
      <c r="AI111" s="860" t="str">
        <f t="shared" si="83"/>
        <v>Si</v>
      </c>
      <c r="AJ111" s="862">
        <f t="shared" si="84"/>
        <v>125000</v>
      </c>
    </row>
    <row r="112" spans="3:36" s="491" customFormat="1" ht="28.8" x14ac:dyDescent="0.3">
      <c r="C112" s="48" t="s">
        <v>169</v>
      </c>
      <c r="D112" s="435" t="s">
        <v>173</v>
      </c>
      <c r="E112" s="405" t="s">
        <v>174</v>
      </c>
      <c r="F112" s="413">
        <v>125000</v>
      </c>
      <c r="G112" s="531">
        <v>46178</v>
      </c>
      <c r="H112" s="532">
        <v>46358</v>
      </c>
      <c r="K112" s="711"/>
      <c r="L112" s="710"/>
      <c r="M112" s="710"/>
      <c r="N112" s="710"/>
      <c r="O112" s="710"/>
      <c r="P112" s="710"/>
      <c r="Q112" s="710"/>
      <c r="R112" s="710"/>
      <c r="S112" s="710"/>
      <c r="T112" s="591">
        <v>25000</v>
      </c>
      <c r="U112" s="591">
        <v>0</v>
      </c>
      <c r="V112" s="716">
        <v>0</v>
      </c>
      <c r="W112" s="597">
        <v>62500</v>
      </c>
      <c r="X112" s="591">
        <v>0</v>
      </c>
      <c r="Y112" s="591">
        <v>0</v>
      </c>
      <c r="Z112" s="591">
        <v>0</v>
      </c>
      <c r="AA112" s="591">
        <v>37500</v>
      </c>
      <c r="AB112" s="710"/>
      <c r="AC112" s="710"/>
      <c r="AD112" s="710"/>
      <c r="AE112" s="710"/>
      <c r="AF112" s="710"/>
      <c r="AG112" s="710"/>
      <c r="AH112" s="712"/>
      <c r="AI112" s="860" t="str">
        <f t="shared" si="83"/>
        <v>Si</v>
      </c>
      <c r="AJ112" s="862">
        <f t="shared" si="84"/>
        <v>125000</v>
      </c>
    </row>
    <row r="113" spans="3:36" s="491" customFormat="1" ht="54.6" customHeight="1" x14ac:dyDescent="0.3">
      <c r="C113" s="48" t="s">
        <v>169</v>
      </c>
      <c r="D113" s="435" t="s">
        <v>175</v>
      </c>
      <c r="E113" s="405" t="s">
        <v>176</v>
      </c>
      <c r="F113" s="413">
        <v>125000</v>
      </c>
      <c r="G113" s="531">
        <v>46178</v>
      </c>
      <c r="H113" s="532">
        <v>46358</v>
      </c>
      <c r="K113" s="711"/>
      <c r="L113" s="710"/>
      <c r="M113" s="710"/>
      <c r="N113" s="710"/>
      <c r="O113" s="710"/>
      <c r="P113" s="710"/>
      <c r="Q113" s="710"/>
      <c r="R113" s="710"/>
      <c r="S113" s="710"/>
      <c r="T113" s="591">
        <v>25000</v>
      </c>
      <c r="U113" s="591">
        <v>0</v>
      </c>
      <c r="V113" s="716">
        <v>0</v>
      </c>
      <c r="W113" s="597">
        <v>62500</v>
      </c>
      <c r="X113" s="591">
        <v>0</v>
      </c>
      <c r="Y113" s="591">
        <v>0</v>
      </c>
      <c r="Z113" s="591">
        <v>0</v>
      </c>
      <c r="AA113" s="591">
        <v>37500</v>
      </c>
      <c r="AB113" s="710"/>
      <c r="AC113" s="710"/>
      <c r="AD113" s="710"/>
      <c r="AE113" s="710"/>
      <c r="AF113" s="710"/>
      <c r="AG113" s="710"/>
      <c r="AH113" s="712"/>
      <c r="AI113" s="860" t="str">
        <f t="shared" si="83"/>
        <v>Si</v>
      </c>
      <c r="AJ113" s="862">
        <f t="shared" si="84"/>
        <v>125000</v>
      </c>
    </row>
    <row r="114" spans="3:36" s="491" customFormat="1" ht="43.95" customHeight="1" x14ac:dyDescent="0.3">
      <c r="C114" s="48" t="s">
        <v>169</v>
      </c>
      <c r="D114" s="435" t="s">
        <v>173</v>
      </c>
      <c r="E114" s="405" t="s">
        <v>177</v>
      </c>
      <c r="F114" s="413">
        <v>35000</v>
      </c>
      <c r="G114" s="531">
        <v>46248</v>
      </c>
      <c r="H114" s="532">
        <v>46522</v>
      </c>
      <c r="K114" s="711"/>
      <c r="L114" s="710"/>
      <c r="M114" s="710"/>
      <c r="N114" s="710"/>
      <c r="O114" s="710"/>
      <c r="P114" s="710"/>
      <c r="Q114" s="710"/>
      <c r="R114" s="591">
        <v>7000</v>
      </c>
      <c r="S114" s="591">
        <v>0</v>
      </c>
      <c r="T114" s="591">
        <v>0</v>
      </c>
      <c r="U114" s="591">
        <v>0</v>
      </c>
      <c r="V114" s="716">
        <v>0</v>
      </c>
      <c r="W114" s="597">
        <v>14000</v>
      </c>
      <c r="X114" s="591">
        <v>0</v>
      </c>
      <c r="Y114" s="591">
        <v>0</v>
      </c>
      <c r="Z114" s="591">
        <v>0</v>
      </c>
      <c r="AA114" s="591">
        <v>14000</v>
      </c>
      <c r="AB114" s="710"/>
      <c r="AC114" s="710"/>
      <c r="AD114" s="710"/>
      <c r="AE114" s="710"/>
      <c r="AF114" s="710"/>
      <c r="AG114" s="710"/>
      <c r="AH114" s="712"/>
      <c r="AI114" s="860" t="str">
        <f t="shared" si="83"/>
        <v>Si</v>
      </c>
      <c r="AJ114" s="862">
        <f t="shared" si="84"/>
        <v>35000</v>
      </c>
    </row>
    <row r="115" spans="3:36" s="491" customFormat="1" ht="43.2" customHeight="1" x14ac:dyDescent="0.3">
      <c r="C115" s="48" t="s">
        <v>169</v>
      </c>
      <c r="D115" s="435" t="s">
        <v>173</v>
      </c>
      <c r="E115" s="405" t="s">
        <v>178</v>
      </c>
      <c r="F115" s="413">
        <v>35000</v>
      </c>
      <c r="G115" s="531">
        <v>46217</v>
      </c>
      <c r="H115" s="532">
        <v>46492</v>
      </c>
      <c r="K115" s="711"/>
      <c r="L115" s="710"/>
      <c r="M115" s="710"/>
      <c r="N115" s="710"/>
      <c r="O115" s="710"/>
      <c r="P115" s="710"/>
      <c r="Q115" s="710"/>
      <c r="R115" s="710"/>
      <c r="S115" s="710"/>
      <c r="T115" s="710"/>
      <c r="U115" s="710"/>
      <c r="V115" s="730"/>
      <c r="W115" s="597">
        <v>3500</v>
      </c>
      <c r="X115" s="591">
        <v>3500</v>
      </c>
      <c r="Y115" s="591">
        <v>3500</v>
      </c>
      <c r="Z115" s="591">
        <v>3500</v>
      </c>
      <c r="AA115" s="591">
        <v>3500</v>
      </c>
      <c r="AB115" s="591">
        <v>3500</v>
      </c>
      <c r="AC115" s="591">
        <v>3500</v>
      </c>
      <c r="AD115" s="591">
        <v>3500</v>
      </c>
      <c r="AE115" s="591">
        <v>3500</v>
      </c>
      <c r="AF115" s="591">
        <v>3500</v>
      </c>
      <c r="AG115" s="710"/>
      <c r="AH115" s="712"/>
      <c r="AI115" s="860" t="str">
        <f t="shared" si="83"/>
        <v>Si</v>
      </c>
      <c r="AJ115" s="862">
        <f t="shared" si="84"/>
        <v>35000</v>
      </c>
    </row>
    <row r="116" spans="3:36" ht="28.8" x14ac:dyDescent="0.3">
      <c r="C116" s="43" t="s">
        <v>179</v>
      </c>
      <c r="D116" s="435" t="s">
        <v>173</v>
      </c>
      <c r="E116" s="405" t="s">
        <v>180</v>
      </c>
      <c r="F116" s="414">
        <v>35000</v>
      </c>
      <c r="G116" s="36">
        <v>46252</v>
      </c>
      <c r="H116" s="421">
        <v>46523</v>
      </c>
      <c r="I116" s="585"/>
      <c r="K116" s="723"/>
      <c r="L116" s="146"/>
      <c r="M116" s="146"/>
      <c r="N116" s="146"/>
      <c r="O116" s="146"/>
      <c r="P116" s="146"/>
      <c r="Q116" s="146"/>
      <c r="R116" s="710"/>
      <c r="S116" s="710"/>
      <c r="T116" s="710"/>
      <c r="U116" s="710"/>
      <c r="V116" s="730"/>
      <c r="W116" s="597">
        <v>7000</v>
      </c>
      <c r="X116" s="591">
        <v>0</v>
      </c>
      <c r="Y116" s="591">
        <v>0</v>
      </c>
      <c r="Z116" s="591">
        <v>0</v>
      </c>
      <c r="AA116" s="591">
        <v>0</v>
      </c>
      <c r="AB116" s="850">
        <v>14000</v>
      </c>
      <c r="AC116" s="591">
        <v>0</v>
      </c>
      <c r="AD116" s="591">
        <v>0</v>
      </c>
      <c r="AE116" s="591">
        <v>0</v>
      </c>
      <c r="AF116" s="591">
        <v>14000</v>
      </c>
      <c r="AG116" s="146"/>
      <c r="AH116" s="724"/>
      <c r="AI116" s="860" t="str">
        <f t="shared" si="83"/>
        <v>Si</v>
      </c>
      <c r="AJ116" s="862">
        <f t="shared" si="84"/>
        <v>35000</v>
      </c>
    </row>
    <row r="117" spans="3:36" ht="28.8" x14ac:dyDescent="0.3">
      <c r="C117" s="43" t="s">
        <v>144</v>
      </c>
      <c r="D117" s="435" t="s">
        <v>173</v>
      </c>
      <c r="E117" s="405" t="s">
        <v>181</v>
      </c>
      <c r="F117" s="387">
        <v>10000</v>
      </c>
      <c r="G117" s="436">
        <v>46027</v>
      </c>
      <c r="H117" s="421">
        <v>46207</v>
      </c>
      <c r="I117" s="585"/>
      <c r="K117" s="723"/>
      <c r="L117" s="146"/>
      <c r="M117" s="146"/>
      <c r="N117" s="591">
        <v>2000</v>
      </c>
      <c r="O117" s="591">
        <v>0</v>
      </c>
      <c r="P117" s="591">
        <v>0</v>
      </c>
      <c r="Q117" s="591">
        <v>5000</v>
      </c>
      <c r="R117" s="591">
        <v>0</v>
      </c>
      <c r="S117" s="591">
        <v>0</v>
      </c>
      <c r="T117" s="591">
        <v>3000</v>
      </c>
      <c r="U117" s="146"/>
      <c r="V117" s="729"/>
      <c r="W117" s="723"/>
      <c r="X117" s="146"/>
      <c r="Y117" s="146"/>
      <c r="Z117" s="146"/>
      <c r="AA117" s="146"/>
      <c r="AB117" s="146"/>
      <c r="AC117" s="146"/>
      <c r="AD117" s="146"/>
      <c r="AE117" s="146"/>
      <c r="AF117" s="146"/>
      <c r="AG117" s="146"/>
      <c r="AH117" s="724"/>
      <c r="AI117" s="860" t="str">
        <f t="shared" si="83"/>
        <v>Si</v>
      </c>
      <c r="AJ117" s="862">
        <f t="shared" si="84"/>
        <v>10000</v>
      </c>
    </row>
    <row r="118" spans="3:36" ht="28.8" x14ac:dyDescent="0.3">
      <c r="C118" s="43" t="s">
        <v>182</v>
      </c>
      <c r="D118" s="435" t="s">
        <v>173</v>
      </c>
      <c r="E118" s="405" t="s">
        <v>183</v>
      </c>
      <c r="F118" s="387">
        <v>48000</v>
      </c>
      <c r="G118" s="436">
        <v>46092</v>
      </c>
      <c r="H118" s="421">
        <v>46272</v>
      </c>
      <c r="I118" s="573"/>
      <c r="K118" s="723"/>
      <c r="L118" s="146"/>
      <c r="M118" s="146"/>
      <c r="N118" s="146"/>
      <c r="O118" s="146"/>
      <c r="P118" s="146"/>
      <c r="Q118" s="146"/>
      <c r="R118" s="146"/>
      <c r="S118" s="146"/>
      <c r="T118" s="146"/>
      <c r="U118" s="146"/>
      <c r="V118" s="729"/>
      <c r="W118" s="597">
        <v>6857.1428571428569</v>
      </c>
      <c r="X118" s="591">
        <v>6857.1428571428569</v>
      </c>
      <c r="Y118" s="591">
        <v>6857.1428571428569</v>
      </c>
      <c r="Z118" s="591">
        <v>6857.1428571428569</v>
      </c>
      <c r="AA118" s="591">
        <v>6857.1428571428569</v>
      </c>
      <c r="AB118" s="591">
        <v>6857.1428571428569</v>
      </c>
      <c r="AC118" s="591">
        <v>6857.1428571428569</v>
      </c>
      <c r="AD118" s="146"/>
      <c r="AE118" s="146"/>
      <c r="AF118" s="146"/>
      <c r="AG118" s="146"/>
      <c r="AH118" s="724"/>
      <c r="AI118" s="860" t="str">
        <f t="shared" si="83"/>
        <v>Si</v>
      </c>
      <c r="AJ118" s="862">
        <f t="shared" si="84"/>
        <v>47999.999999999993</v>
      </c>
    </row>
    <row r="119" spans="3:36" x14ac:dyDescent="0.3">
      <c r="C119" s="43" t="s">
        <v>134</v>
      </c>
      <c r="D119" s="435" t="s">
        <v>184</v>
      </c>
      <c r="E119" s="405" t="s">
        <v>185</v>
      </c>
      <c r="F119" s="414">
        <v>900</v>
      </c>
      <c r="G119" s="436" t="s">
        <v>63</v>
      </c>
      <c r="H119" s="411" t="s">
        <v>63</v>
      </c>
      <c r="K119" s="597">
        <v>52.941176470588232</v>
      </c>
      <c r="L119" s="591">
        <v>52.941176470588232</v>
      </c>
      <c r="M119" s="591">
        <v>52.941176470588232</v>
      </c>
      <c r="N119" s="591">
        <v>52.941176470588232</v>
      </c>
      <c r="O119" s="591">
        <v>52.941176470588232</v>
      </c>
      <c r="P119" s="591">
        <v>52.941176470588232</v>
      </c>
      <c r="Q119" s="591">
        <v>52.941176470588232</v>
      </c>
      <c r="R119" s="591">
        <v>52.941176470588232</v>
      </c>
      <c r="S119" s="591">
        <v>52.941176470588232</v>
      </c>
      <c r="T119" s="591">
        <v>52.941176470588232</v>
      </c>
      <c r="U119" s="591">
        <v>52.941176470588232</v>
      </c>
      <c r="V119" s="716">
        <v>52.941176470588232</v>
      </c>
      <c r="W119" s="597">
        <v>52.941176470588232</v>
      </c>
      <c r="X119" s="591">
        <v>52.941176470588232</v>
      </c>
      <c r="Y119" s="591">
        <v>52.941176470588232</v>
      </c>
      <c r="Z119" s="591">
        <v>52.941176470588232</v>
      </c>
      <c r="AA119" s="591">
        <v>52.941176470588232</v>
      </c>
      <c r="AB119" s="146"/>
      <c r="AC119" s="146"/>
      <c r="AD119" s="146"/>
      <c r="AE119" s="146"/>
      <c r="AF119" s="146"/>
      <c r="AG119" s="146"/>
      <c r="AH119" s="724"/>
      <c r="AI119" s="860" t="str">
        <f t="shared" si="83"/>
        <v>Si</v>
      </c>
      <c r="AJ119" s="862">
        <f t="shared" si="84"/>
        <v>900.00000000000023</v>
      </c>
    </row>
    <row r="120" spans="3:36" x14ac:dyDescent="0.3">
      <c r="C120" s="43" t="s">
        <v>134</v>
      </c>
      <c r="D120" s="435" t="s">
        <v>186</v>
      </c>
      <c r="E120" s="405" t="s">
        <v>187</v>
      </c>
      <c r="F120" s="414">
        <v>4000</v>
      </c>
      <c r="G120" s="436" t="s">
        <v>63</v>
      </c>
      <c r="H120" s="411" t="s">
        <v>63</v>
      </c>
      <c r="K120" s="597">
        <v>235.29411764705881</v>
      </c>
      <c r="L120" s="591">
        <v>235.29411764705881</v>
      </c>
      <c r="M120" s="591">
        <v>235.29411764705881</v>
      </c>
      <c r="N120" s="591">
        <v>235.29411764705881</v>
      </c>
      <c r="O120" s="591">
        <v>235.29411764705881</v>
      </c>
      <c r="P120" s="591">
        <v>235.29411764705881</v>
      </c>
      <c r="Q120" s="591">
        <v>235.29411764705881</v>
      </c>
      <c r="R120" s="591">
        <v>235.29411764705881</v>
      </c>
      <c r="S120" s="591">
        <v>235.29411764705881</v>
      </c>
      <c r="T120" s="591">
        <v>235.29411764705881</v>
      </c>
      <c r="U120" s="591">
        <v>235.29411764705881</v>
      </c>
      <c r="V120" s="716">
        <v>235.29411764705881</v>
      </c>
      <c r="W120" s="597">
        <v>235.29411764705881</v>
      </c>
      <c r="X120" s="591">
        <v>235.29411764705881</v>
      </c>
      <c r="Y120" s="591">
        <v>235.29411764705881</v>
      </c>
      <c r="Z120" s="591">
        <v>235.29411764705881</v>
      </c>
      <c r="AA120" s="591">
        <v>235.29411764705881</v>
      </c>
      <c r="AB120" s="146"/>
      <c r="AC120" s="146"/>
      <c r="AD120" s="146"/>
      <c r="AE120" s="146"/>
      <c r="AF120" s="146"/>
      <c r="AG120" s="146"/>
      <c r="AH120" s="724"/>
      <c r="AI120" s="860" t="str">
        <f t="shared" si="83"/>
        <v>Si</v>
      </c>
      <c r="AJ120" s="862">
        <f t="shared" si="84"/>
        <v>4000.0000000000014</v>
      </c>
    </row>
    <row r="121" spans="3:36" x14ac:dyDescent="0.3">
      <c r="C121" s="43" t="s">
        <v>134</v>
      </c>
      <c r="D121" s="435" t="s">
        <v>188</v>
      </c>
      <c r="E121" s="405" t="s">
        <v>189</v>
      </c>
      <c r="F121" s="414">
        <v>10000</v>
      </c>
      <c r="G121" s="436" t="s">
        <v>63</v>
      </c>
      <c r="H121" s="411" t="s">
        <v>63</v>
      </c>
      <c r="K121" s="597">
        <v>588.23529411764707</v>
      </c>
      <c r="L121" s="591">
        <v>588.23529411764707</v>
      </c>
      <c r="M121" s="591">
        <v>588.23529411764707</v>
      </c>
      <c r="N121" s="591">
        <v>588.23529411764707</v>
      </c>
      <c r="O121" s="591">
        <v>588.23529411764707</v>
      </c>
      <c r="P121" s="591">
        <v>588.23529411764707</v>
      </c>
      <c r="Q121" s="591">
        <v>588.23529411764707</v>
      </c>
      <c r="R121" s="591">
        <v>588.23529411764707</v>
      </c>
      <c r="S121" s="591">
        <v>588.23529411764707</v>
      </c>
      <c r="T121" s="591">
        <v>588.23529411764707</v>
      </c>
      <c r="U121" s="591">
        <v>588.23529411764707</v>
      </c>
      <c r="V121" s="716">
        <v>588.23529411764707</v>
      </c>
      <c r="W121" s="597">
        <v>588.23529411764707</v>
      </c>
      <c r="X121" s="591">
        <v>588.23529411764707</v>
      </c>
      <c r="Y121" s="591">
        <v>588.23529411764707</v>
      </c>
      <c r="Z121" s="591">
        <v>588.23529411764707</v>
      </c>
      <c r="AA121" s="591">
        <v>588.23529411764707</v>
      </c>
      <c r="AB121" s="146"/>
      <c r="AC121" s="146"/>
      <c r="AD121" s="146"/>
      <c r="AE121" s="146"/>
      <c r="AF121" s="146"/>
      <c r="AG121" s="146"/>
      <c r="AH121" s="724"/>
      <c r="AI121" s="860" t="str">
        <f t="shared" si="83"/>
        <v>Si</v>
      </c>
      <c r="AJ121" s="862">
        <f t="shared" si="84"/>
        <v>9999.9999999999982</v>
      </c>
    </row>
    <row r="122" spans="3:36" ht="28.8" x14ac:dyDescent="0.3">
      <c r="C122" s="43" t="s">
        <v>134</v>
      </c>
      <c r="D122" s="435" t="s">
        <v>190</v>
      </c>
      <c r="E122" s="405" t="s">
        <v>191</v>
      </c>
      <c r="F122" s="414">
        <v>20000</v>
      </c>
      <c r="G122" s="436" t="s">
        <v>63</v>
      </c>
      <c r="H122" s="411" t="s">
        <v>63</v>
      </c>
      <c r="K122" s="597">
        <v>1176.4705882352941</v>
      </c>
      <c r="L122" s="591">
        <v>1176.4705882352941</v>
      </c>
      <c r="M122" s="591">
        <v>1176.4705882352941</v>
      </c>
      <c r="N122" s="591">
        <v>1176.4705882352941</v>
      </c>
      <c r="O122" s="591">
        <v>1176.4705882352941</v>
      </c>
      <c r="P122" s="591">
        <v>1176.4705882352941</v>
      </c>
      <c r="Q122" s="591">
        <v>1176.4705882352941</v>
      </c>
      <c r="R122" s="591">
        <v>1176.4705882352941</v>
      </c>
      <c r="S122" s="591">
        <v>1176.4705882352941</v>
      </c>
      <c r="T122" s="591">
        <v>1176.4705882352941</v>
      </c>
      <c r="U122" s="591">
        <v>1176.4705882352941</v>
      </c>
      <c r="V122" s="716">
        <v>1176.4705882352941</v>
      </c>
      <c r="W122" s="597">
        <v>1176.4705882352941</v>
      </c>
      <c r="X122" s="591">
        <v>1176.4705882352941</v>
      </c>
      <c r="Y122" s="591">
        <v>1176.4705882352941</v>
      </c>
      <c r="Z122" s="591">
        <v>1176.4705882352941</v>
      </c>
      <c r="AA122" s="591">
        <v>1176.4705882352941</v>
      </c>
      <c r="AB122" s="146"/>
      <c r="AC122" s="146"/>
      <c r="AD122" s="146"/>
      <c r="AE122" s="146"/>
      <c r="AF122" s="146"/>
      <c r="AG122" s="146"/>
      <c r="AH122" s="724"/>
      <c r="AI122" s="860" t="str">
        <f t="shared" si="83"/>
        <v>Si</v>
      </c>
      <c r="AJ122" s="862">
        <f t="shared" si="84"/>
        <v>19999.999999999996</v>
      </c>
    </row>
    <row r="123" spans="3:36" ht="28.8" x14ac:dyDescent="0.3">
      <c r="C123" s="43" t="s">
        <v>134</v>
      </c>
      <c r="D123" s="435" t="s">
        <v>192</v>
      </c>
      <c r="E123" s="405" t="s">
        <v>193</v>
      </c>
      <c r="F123" s="414">
        <f>727.49*3+5000+606.25</f>
        <v>7788.72</v>
      </c>
      <c r="G123" s="436" t="s">
        <v>63</v>
      </c>
      <c r="H123" s="411" t="s">
        <v>63</v>
      </c>
      <c r="K123" s="597">
        <v>458.16</v>
      </c>
      <c r="L123" s="591">
        <v>458.16</v>
      </c>
      <c r="M123" s="591">
        <v>458.16</v>
      </c>
      <c r="N123" s="591">
        <v>458.16</v>
      </c>
      <c r="O123" s="591">
        <v>458.16</v>
      </c>
      <c r="P123" s="591">
        <v>458.16</v>
      </c>
      <c r="Q123" s="591">
        <v>458.16</v>
      </c>
      <c r="R123" s="591">
        <v>458.16</v>
      </c>
      <c r="S123" s="591">
        <v>458.16</v>
      </c>
      <c r="T123" s="591">
        <v>458.16</v>
      </c>
      <c r="U123" s="591">
        <v>458.16</v>
      </c>
      <c r="V123" s="716">
        <v>458.16</v>
      </c>
      <c r="W123" s="597">
        <v>458.16</v>
      </c>
      <c r="X123" s="591">
        <v>458.16</v>
      </c>
      <c r="Y123" s="591">
        <v>458.16</v>
      </c>
      <c r="Z123" s="591">
        <v>458.16</v>
      </c>
      <c r="AA123" s="591">
        <v>458.16</v>
      </c>
      <c r="AB123" s="146"/>
      <c r="AC123" s="146"/>
      <c r="AD123" s="146"/>
      <c r="AE123" s="146"/>
      <c r="AF123" s="146"/>
      <c r="AG123" s="146"/>
      <c r="AH123" s="724"/>
      <c r="AI123" s="860" t="str">
        <f t="shared" si="83"/>
        <v>Si</v>
      </c>
      <c r="AJ123" s="862">
        <f t="shared" si="84"/>
        <v>7788.7199999999984</v>
      </c>
    </row>
    <row r="124" spans="3:36" ht="28.8" x14ac:dyDescent="0.3">
      <c r="C124" s="43" t="s">
        <v>134</v>
      </c>
      <c r="D124" s="435" t="s">
        <v>194</v>
      </c>
      <c r="E124" s="405" t="s">
        <v>111</v>
      </c>
      <c r="F124" s="414">
        <v>15000</v>
      </c>
      <c r="G124" s="436" t="s">
        <v>63</v>
      </c>
      <c r="H124" s="411" t="s">
        <v>63</v>
      </c>
      <c r="K124" s="597">
        <v>882.35294117647061</v>
      </c>
      <c r="L124" s="591">
        <v>882.35294117647061</v>
      </c>
      <c r="M124" s="591">
        <v>882.35294117647061</v>
      </c>
      <c r="N124" s="591">
        <v>882.35294117647061</v>
      </c>
      <c r="O124" s="591">
        <v>882.35294117647061</v>
      </c>
      <c r="P124" s="591">
        <v>882.35294117647061</v>
      </c>
      <c r="Q124" s="591">
        <v>882.35294117647061</v>
      </c>
      <c r="R124" s="591">
        <v>882.35294117647061</v>
      </c>
      <c r="S124" s="591">
        <v>882.35294117647061</v>
      </c>
      <c r="T124" s="591">
        <v>882.35294117647061</v>
      </c>
      <c r="U124" s="591">
        <v>882.35294117647061</v>
      </c>
      <c r="V124" s="716">
        <v>882.35294117647061</v>
      </c>
      <c r="W124" s="597">
        <v>882.35294117647061</v>
      </c>
      <c r="X124" s="591">
        <v>882.35294117647061</v>
      </c>
      <c r="Y124" s="591">
        <v>882.35294117647061</v>
      </c>
      <c r="Z124" s="591">
        <v>882.35294117647061</v>
      </c>
      <c r="AA124" s="591">
        <v>882.35294117647061</v>
      </c>
      <c r="AB124" s="146"/>
      <c r="AC124" s="146"/>
      <c r="AD124" s="146"/>
      <c r="AE124" s="146"/>
      <c r="AF124" s="146"/>
      <c r="AG124" s="146"/>
      <c r="AH124" s="724"/>
      <c r="AI124" s="860" t="str">
        <f t="shared" si="83"/>
        <v>Si</v>
      </c>
      <c r="AJ124" s="862">
        <f t="shared" si="84"/>
        <v>14999.999999999996</v>
      </c>
    </row>
    <row r="125" spans="3:36" x14ac:dyDescent="0.3">
      <c r="C125" s="43" t="s">
        <v>134</v>
      </c>
      <c r="D125" s="435" t="s">
        <v>195</v>
      </c>
      <c r="E125" s="405" t="s">
        <v>185</v>
      </c>
      <c r="F125" s="414">
        <v>3500</v>
      </c>
      <c r="G125" s="436" t="s">
        <v>63</v>
      </c>
      <c r="H125" s="411" t="s">
        <v>63</v>
      </c>
      <c r="K125" s="597">
        <v>205.88235294117646</v>
      </c>
      <c r="L125" s="591">
        <v>205.88235294117646</v>
      </c>
      <c r="M125" s="591">
        <v>205.88235294117646</v>
      </c>
      <c r="N125" s="591">
        <v>205.88235294117646</v>
      </c>
      <c r="O125" s="591">
        <v>205.88235294117646</v>
      </c>
      <c r="P125" s="591">
        <v>205.88235294117646</v>
      </c>
      <c r="Q125" s="591">
        <v>205.88235294117646</v>
      </c>
      <c r="R125" s="591">
        <v>205.88235294117646</v>
      </c>
      <c r="S125" s="591">
        <v>205.88235294117646</v>
      </c>
      <c r="T125" s="591">
        <v>205.88235294117646</v>
      </c>
      <c r="U125" s="591">
        <v>205.88235294117646</v>
      </c>
      <c r="V125" s="716">
        <v>205.88235294117646</v>
      </c>
      <c r="W125" s="597">
        <v>205.88235294117646</v>
      </c>
      <c r="X125" s="591">
        <v>205.88235294117646</v>
      </c>
      <c r="Y125" s="591">
        <v>205.88235294117646</v>
      </c>
      <c r="Z125" s="591">
        <v>205.88235294117646</v>
      </c>
      <c r="AA125" s="591">
        <v>205.88235294117646</v>
      </c>
      <c r="AB125" s="146"/>
      <c r="AC125" s="146"/>
      <c r="AD125" s="146"/>
      <c r="AE125" s="146"/>
      <c r="AF125" s="146"/>
      <c r="AG125" s="146"/>
      <c r="AH125" s="724"/>
      <c r="AI125" s="860" t="str">
        <f t="shared" si="83"/>
        <v>Si</v>
      </c>
      <c r="AJ125" s="862">
        <f t="shared" si="84"/>
        <v>3500.0000000000014</v>
      </c>
    </row>
    <row r="126" spans="3:36" x14ac:dyDescent="0.3">
      <c r="C126" s="43" t="s">
        <v>134</v>
      </c>
      <c r="D126" s="435" t="s">
        <v>173</v>
      </c>
      <c r="E126" s="405" t="s">
        <v>106</v>
      </c>
      <c r="F126" s="414">
        <v>15000</v>
      </c>
      <c r="G126" s="436" t="s">
        <v>63</v>
      </c>
      <c r="H126" s="411" t="s">
        <v>63</v>
      </c>
      <c r="K126" s="597">
        <v>882.35294117647061</v>
      </c>
      <c r="L126" s="591">
        <v>882.35294117647061</v>
      </c>
      <c r="M126" s="591">
        <v>882.35294117647061</v>
      </c>
      <c r="N126" s="591">
        <v>882.35294117647061</v>
      </c>
      <c r="O126" s="591">
        <v>882.35294117647061</v>
      </c>
      <c r="P126" s="591">
        <v>882.35294117647061</v>
      </c>
      <c r="Q126" s="591">
        <v>882.35294117647061</v>
      </c>
      <c r="R126" s="591">
        <v>882.35294117647061</v>
      </c>
      <c r="S126" s="591">
        <v>882.35294117647061</v>
      </c>
      <c r="T126" s="591">
        <v>882.35294117647061</v>
      </c>
      <c r="U126" s="591">
        <v>882.35294117647061</v>
      </c>
      <c r="V126" s="716">
        <v>882.35294117647061</v>
      </c>
      <c r="W126" s="597">
        <v>882.35294117647061</v>
      </c>
      <c r="X126" s="591">
        <v>882.35294117647061</v>
      </c>
      <c r="Y126" s="591">
        <v>882.35294117647061</v>
      </c>
      <c r="Z126" s="591">
        <v>882.35294117647061</v>
      </c>
      <c r="AA126" s="591">
        <v>882.35294117647061</v>
      </c>
      <c r="AB126" s="146"/>
      <c r="AC126" s="146"/>
      <c r="AD126" s="146"/>
      <c r="AE126" s="146"/>
      <c r="AF126" s="146"/>
      <c r="AG126" s="146"/>
      <c r="AH126" s="724"/>
      <c r="AI126" s="860" t="str">
        <f t="shared" si="83"/>
        <v>Si</v>
      </c>
      <c r="AJ126" s="862">
        <f t="shared" si="84"/>
        <v>14999.999999999996</v>
      </c>
    </row>
    <row r="127" spans="3:36" ht="15" thickBot="1" x14ac:dyDescent="0.35">
      <c r="C127" s="422" t="s">
        <v>134</v>
      </c>
      <c r="D127" s="429" t="s">
        <v>173</v>
      </c>
      <c r="E127" s="427" t="s">
        <v>196</v>
      </c>
      <c r="F127" s="428">
        <v>30000</v>
      </c>
      <c r="G127" s="447" t="s">
        <v>63</v>
      </c>
      <c r="H127" s="412" t="s">
        <v>63</v>
      </c>
      <c r="K127" s="597">
        <v>1764.7058823529412</v>
      </c>
      <c r="L127" s="591">
        <v>1764.7058823529412</v>
      </c>
      <c r="M127" s="591">
        <v>1764.7058823529412</v>
      </c>
      <c r="N127" s="591">
        <v>1764.7058823529412</v>
      </c>
      <c r="O127" s="591">
        <v>1764.7058823529412</v>
      </c>
      <c r="P127" s="591">
        <v>1764.7058823529412</v>
      </c>
      <c r="Q127" s="591">
        <v>1764.7058823529412</v>
      </c>
      <c r="R127" s="591">
        <v>1764.7058823529412</v>
      </c>
      <c r="S127" s="591">
        <v>1764.7058823529412</v>
      </c>
      <c r="T127" s="591">
        <v>1764.7058823529412</v>
      </c>
      <c r="U127" s="591">
        <v>1764.7058823529412</v>
      </c>
      <c r="V127" s="716">
        <v>1764.7058823529412</v>
      </c>
      <c r="W127" s="597">
        <v>1764.7058823529412</v>
      </c>
      <c r="X127" s="591">
        <v>1764.7058823529412</v>
      </c>
      <c r="Y127" s="591">
        <v>1764.7058823529412</v>
      </c>
      <c r="Z127" s="591">
        <v>1764.7058823529412</v>
      </c>
      <c r="AA127" s="591">
        <v>1764.7058823529412</v>
      </c>
      <c r="AB127" s="146"/>
      <c r="AC127" s="146"/>
      <c r="AD127" s="146"/>
      <c r="AE127" s="146"/>
      <c r="AF127" s="146"/>
      <c r="AG127" s="146"/>
      <c r="AH127" s="724"/>
      <c r="AI127" s="860" t="str">
        <f t="shared" si="83"/>
        <v>Si</v>
      </c>
      <c r="AJ127" s="862">
        <f t="shared" si="84"/>
        <v>29999.999999999993</v>
      </c>
    </row>
    <row r="128" spans="3:36" ht="15" thickBot="1" x14ac:dyDescent="0.35">
      <c r="E128" s="462" t="s">
        <v>26</v>
      </c>
      <c r="F128" s="463">
        <f>SUM(F108:F127)</f>
        <v>1009188.72</v>
      </c>
      <c r="K128" s="739">
        <f>+SUM(K108:K127)</f>
        <v>6246.3952941176476</v>
      </c>
      <c r="L128" s="738">
        <f t="shared" ref="L128:V128" si="85">+SUM(L108:L127)</f>
        <v>6246.3952941176476</v>
      </c>
      <c r="M128" s="738">
        <f t="shared" si="85"/>
        <v>6246.3952941176476</v>
      </c>
      <c r="N128" s="738">
        <f t="shared" si="85"/>
        <v>33246.395294117647</v>
      </c>
      <c r="O128" s="738">
        <f t="shared" si="85"/>
        <v>6246.3952941176476</v>
      </c>
      <c r="P128" s="738">
        <f t="shared" si="85"/>
        <v>43746.395294117647</v>
      </c>
      <c r="Q128" s="738">
        <f t="shared" si="85"/>
        <v>11246.395294117645</v>
      </c>
      <c r="R128" s="738">
        <f t="shared" si="85"/>
        <v>58746.395294117647</v>
      </c>
      <c r="S128" s="738">
        <f t="shared" si="85"/>
        <v>6246.3952941176476</v>
      </c>
      <c r="T128" s="738">
        <f t="shared" si="85"/>
        <v>84246.395294117669</v>
      </c>
      <c r="U128" s="738">
        <f t="shared" si="85"/>
        <v>6246.3952941176476</v>
      </c>
      <c r="V128" s="845">
        <f t="shared" si="85"/>
        <v>22246.395294117647</v>
      </c>
      <c r="W128" s="739">
        <f>+SUM(W108:W127)</f>
        <v>187603.53815126055</v>
      </c>
      <c r="X128" s="738">
        <f t="shared" ref="X128" si="86">+SUM(X108:X127)</f>
        <v>45174.966722689074</v>
      </c>
      <c r="Y128" s="738">
        <f t="shared" ref="Y128" si="87">+SUM(Y108:Y127)</f>
        <v>45174.966722689074</v>
      </c>
      <c r="Z128" s="738">
        <f t="shared" ref="Z128" si="88">+SUM(Z108:Z127)</f>
        <v>120174.9667226891</v>
      </c>
      <c r="AA128" s="738">
        <f t="shared" ref="AA128" si="89">+SUM(AA108:AA127)</f>
        <v>150174.96672268913</v>
      </c>
      <c r="AB128" s="738">
        <f t="shared" ref="AB128" si="90">+SUM(AB108:AB127)</f>
        <v>52928.571428571428</v>
      </c>
      <c r="AC128" s="738">
        <f t="shared" ref="AC128" si="91">+SUM(AC108:AC127)</f>
        <v>63928.571428571428</v>
      </c>
      <c r="AD128" s="738">
        <f t="shared" ref="AD128" si="92">+SUM(AD108:AD127)</f>
        <v>32071.428571428572</v>
      </c>
      <c r="AE128" s="738">
        <f t="shared" ref="AE128" si="93">+SUM(AE108:AE127)</f>
        <v>3500</v>
      </c>
      <c r="AF128" s="738">
        <f t="shared" ref="AF128" si="94">+SUM(AF108:AF127)</f>
        <v>17500</v>
      </c>
      <c r="AG128" s="738">
        <f t="shared" ref="AG128" si="95">+SUM(AG108:AG127)</f>
        <v>0</v>
      </c>
      <c r="AH128" s="853">
        <f t="shared" ref="AH128" si="96">+SUM(AH108:AH127)</f>
        <v>0</v>
      </c>
      <c r="AI128" s="861"/>
    </row>
    <row r="129" spans="3:36" ht="15" thickBot="1" x14ac:dyDescent="0.35">
      <c r="E129" s="857"/>
      <c r="F129" s="858"/>
      <c r="G129" s="859"/>
      <c r="K129" s="971">
        <f>+SUM(K128:V128)</f>
        <v>290956.74352941173</v>
      </c>
      <c r="L129" s="972"/>
      <c r="M129" s="972"/>
      <c r="N129" s="972"/>
      <c r="O129" s="972"/>
      <c r="P129" s="972"/>
      <c r="Q129" s="972"/>
      <c r="R129" s="972"/>
      <c r="S129" s="972"/>
      <c r="T129" s="972"/>
      <c r="U129" s="972"/>
      <c r="V129" s="972"/>
      <c r="W129" s="971">
        <f>+SUM(W128:AH128)</f>
        <v>718231.97647058836</v>
      </c>
      <c r="X129" s="972"/>
      <c r="Y129" s="972"/>
      <c r="Z129" s="972"/>
      <c r="AA129" s="972"/>
      <c r="AB129" s="972"/>
      <c r="AC129" s="972"/>
      <c r="AD129" s="972"/>
      <c r="AE129" s="972"/>
      <c r="AF129" s="972"/>
      <c r="AG129" s="972"/>
      <c r="AH129" s="973"/>
      <c r="AI129" s="860" t="str">
        <f>IF(SUM(K129:AH129)=F128,"Si","No")</f>
        <v>Si</v>
      </c>
      <c r="AJ129" s="864">
        <f>+SUM(K129:AH129)</f>
        <v>1009188.7200000001</v>
      </c>
    </row>
    <row r="130" spans="3:36" x14ac:dyDescent="0.3">
      <c r="C130" s="958" t="s">
        <v>0</v>
      </c>
      <c r="D130" s="959"/>
      <c r="E130" s="417" t="s">
        <v>1</v>
      </c>
      <c r="F130" s="417" t="s">
        <v>2</v>
      </c>
      <c r="G130" s="418" t="s">
        <v>3</v>
      </c>
      <c r="K130" s="946"/>
      <c r="L130" s="947"/>
      <c r="M130" s="947"/>
      <c r="N130" s="947"/>
      <c r="O130" s="947"/>
      <c r="P130" s="947"/>
      <c r="Q130" s="947"/>
      <c r="R130" s="947"/>
      <c r="S130" s="947"/>
      <c r="T130" s="947"/>
      <c r="U130" s="947"/>
      <c r="V130" s="948"/>
      <c r="W130" s="946"/>
      <c r="X130" s="947"/>
      <c r="Y130" s="947"/>
      <c r="Z130" s="947"/>
      <c r="AA130" s="947"/>
      <c r="AB130" s="947"/>
      <c r="AC130" s="947"/>
      <c r="AD130" s="947"/>
      <c r="AE130" s="947"/>
      <c r="AF130" s="947"/>
      <c r="AG130" s="947"/>
      <c r="AH130" s="948"/>
      <c r="AI130" s="861"/>
    </row>
    <row r="131" spans="3:36" ht="58.2" thickBot="1" x14ac:dyDescent="0.35">
      <c r="C131" s="956" t="s">
        <v>197</v>
      </c>
      <c r="D131" s="957"/>
      <c r="E131" s="19" t="s">
        <v>198</v>
      </c>
      <c r="F131" s="431">
        <v>46024</v>
      </c>
      <c r="G131" s="432">
        <v>46179</v>
      </c>
      <c r="K131" s="949"/>
      <c r="L131" s="950"/>
      <c r="M131" s="950"/>
      <c r="N131" s="950"/>
      <c r="O131" s="950"/>
      <c r="P131" s="950"/>
      <c r="Q131" s="950"/>
      <c r="R131" s="950"/>
      <c r="S131" s="950"/>
      <c r="T131" s="950"/>
      <c r="U131" s="950"/>
      <c r="V131" s="951"/>
      <c r="W131" s="949"/>
      <c r="X131" s="950"/>
      <c r="Y131" s="950"/>
      <c r="Z131" s="950"/>
      <c r="AA131" s="950"/>
      <c r="AB131" s="950"/>
      <c r="AC131" s="950"/>
      <c r="AD131" s="950"/>
      <c r="AE131" s="950"/>
      <c r="AF131" s="950"/>
      <c r="AG131" s="950"/>
      <c r="AH131" s="951"/>
      <c r="AI131" s="861"/>
    </row>
    <row r="132" spans="3:36" x14ac:dyDescent="0.3">
      <c r="C132" s="416" t="s">
        <v>0</v>
      </c>
      <c r="D132" s="417" t="s">
        <v>6</v>
      </c>
      <c r="E132" s="417" t="s">
        <v>7</v>
      </c>
      <c r="F132" s="417" t="s">
        <v>8</v>
      </c>
      <c r="G132" s="417" t="s">
        <v>9</v>
      </c>
      <c r="H132" s="418" t="s">
        <v>10</v>
      </c>
      <c r="K132" s="946"/>
      <c r="L132" s="947"/>
      <c r="M132" s="947"/>
      <c r="N132" s="947"/>
      <c r="O132" s="947"/>
      <c r="P132" s="947"/>
      <c r="Q132" s="947"/>
      <c r="R132" s="947"/>
      <c r="S132" s="947"/>
      <c r="T132" s="947"/>
      <c r="U132" s="947"/>
      <c r="V132" s="948"/>
      <c r="W132" s="946"/>
      <c r="X132" s="947"/>
      <c r="Y132" s="947"/>
      <c r="Z132" s="947"/>
      <c r="AA132" s="947"/>
      <c r="AB132" s="947"/>
      <c r="AC132" s="947"/>
      <c r="AD132" s="947"/>
      <c r="AE132" s="947"/>
      <c r="AF132" s="947"/>
      <c r="AG132" s="947"/>
      <c r="AH132" s="948"/>
      <c r="AI132" s="861"/>
    </row>
    <row r="133" spans="3:36" ht="28.8" x14ac:dyDescent="0.3">
      <c r="C133" s="407" t="s">
        <v>197</v>
      </c>
      <c r="D133" s="435" t="s">
        <v>58</v>
      </c>
      <c r="E133" s="405" t="s">
        <v>199</v>
      </c>
      <c r="F133" s="406">
        <v>55000</v>
      </c>
      <c r="G133" s="436">
        <v>46411</v>
      </c>
      <c r="H133" s="421">
        <v>46681</v>
      </c>
      <c r="I133" s="573"/>
      <c r="K133" s="723"/>
      <c r="L133" s="146"/>
      <c r="M133" s="146"/>
      <c r="N133" s="146"/>
      <c r="O133" s="146"/>
      <c r="P133" s="146"/>
      <c r="Q133" s="146"/>
      <c r="R133" s="146"/>
      <c r="S133" s="146"/>
      <c r="T133" s="146"/>
      <c r="U133" s="146"/>
      <c r="V133" s="724"/>
      <c r="W133" s="850">
        <v>5500</v>
      </c>
      <c r="X133" s="591">
        <v>5500</v>
      </c>
      <c r="Y133" s="591">
        <v>5500</v>
      </c>
      <c r="Z133" s="591">
        <v>5500</v>
      </c>
      <c r="AA133" s="591">
        <v>5500</v>
      </c>
      <c r="AB133" s="591">
        <v>5500</v>
      </c>
      <c r="AC133" s="591">
        <v>5500</v>
      </c>
      <c r="AD133" s="591">
        <v>5500</v>
      </c>
      <c r="AE133" s="591">
        <v>5500</v>
      </c>
      <c r="AF133" s="591">
        <v>5500</v>
      </c>
      <c r="AG133" s="146"/>
      <c r="AH133" s="724"/>
      <c r="AI133" s="860" t="str">
        <f t="shared" ref="AI133:AI139" si="97">IF(SUM(K133:AH133)=F133,"Si","No")</f>
        <v>Si</v>
      </c>
      <c r="AJ133" s="862">
        <f t="shared" ref="AJ133:AJ139" si="98">+SUM(K133:AH133)</f>
        <v>55000</v>
      </c>
    </row>
    <row r="134" spans="3:36" ht="28.8" x14ac:dyDescent="0.3">
      <c r="C134" s="407" t="s">
        <v>197</v>
      </c>
      <c r="D134" s="435" t="s">
        <v>58</v>
      </c>
      <c r="E134" s="405" t="s">
        <v>200</v>
      </c>
      <c r="F134" s="406">
        <v>25000</v>
      </c>
      <c r="G134" s="436">
        <v>46411</v>
      </c>
      <c r="H134" s="421">
        <v>46629</v>
      </c>
      <c r="I134" s="573"/>
      <c r="K134" s="723"/>
      <c r="L134" s="146"/>
      <c r="M134" s="146"/>
      <c r="N134" s="146"/>
      <c r="O134" s="146"/>
      <c r="P134" s="146"/>
      <c r="Q134" s="146"/>
      <c r="R134" s="146"/>
      <c r="S134" s="146"/>
      <c r="T134" s="710"/>
      <c r="U134" s="710"/>
      <c r="V134" s="712"/>
      <c r="W134" s="850">
        <v>3125</v>
      </c>
      <c r="X134" s="591">
        <v>3125</v>
      </c>
      <c r="Y134" s="591">
        <v>3125</v>
      </c>
      <c r="Z134" s="591">
        <v>3125</v>
      </c>
      <c r="AA134" s="591">
        <v>3125</v>
      </c>
      <c r="AB134" s="591">
        <v>3125</v>
      </c>
      <c r="AC134" s="591">
        <v>3125</v>
      </c>
      <c r="AD134" s="591">
        <v>3125</v>
      </c>
      <c r="AE134" s="146"/>
      <c r="AF134" s="146"/>
      <c r="AG134" s="146"/>
      <c r="AH134" s="724"/>
      <c r="AI134" s="860" t="str">
        <f t="shared" si="97"/>
        <v>Si</v>
      </c>
      <c r="AJ134" s="862">
        <f t="shared" si="98"/>
        <v>25000</v>
      </c>
    </row>
    <row r="135" spans="3:36" ht="28.8" x14ac:dyDescent="0.3">
      <c r="C135" s="407" t="s">
        <v>197</v>
      </c>
      <c r="D135" s="435" t="s">
        <v>58</v>
      </c>
      <c r="E135" s="405" t="s">
        <v>201</v>
      </c>
      <c r="F135" s="406">
        <v>30000</v>
      </c>
      <c r="G135" s="436">
        <v>46412</v>
      </c>
      <c r="H135" s="421" t="s">
        <v>1382</v>
      </c>
      <c r="I135" s="573"/>
      <c r="K135" s="723"/>
      <c r="L135" s="146"/>
      <c r="M135" s="146"/>
      <c r="N135" s="146"/>
      <c r="O135" s="146"/>
      <c r="P135" s="146"/>
      <c r="Q135" s="146"/>
      <c r="R135" s="146"/>
      <c r="S135" s="146"/>
      <c r="T135" s="146"/>
      <c r="U135" s="146"/>
      <c r="V135" s="724"/>
      <c r="W135" s="850">
        <v>3000</v>
      </c>
      <c r="X135" s="591">
        <v>3000</v>
      </c>
      <c r="Y135" s="591">
        <v>3000</v>
      </c>
      <c r="Z135" s="591">
        <v>3000</v>
      </c>
      <c r="AA135" s="591">
        <v>3000</v>
      </c>
      <c r="AB135" s="591">
        <v>3000</v>
      </c>
      <c r="AC135" s="591">
        <v>3000</v>
      </c>
      <c r="AD135" s="591">
        <v>3000</v>
      </c>
      <c r="AE135" s="591">
        <v>3000</v>
      </c>
      <c r="AF135" s="591">
        <v>3000</v>
      </c>
      <c r="AG135" s="146"/>
      <c r="AH135" s="724"/>
      <c r="AI135" s="860" t="str">
        <f t="shared" si="97"/>
        <v>Si</v>
      </c>
      <c r="AJ135" s="862">
        <f t="shared" si="98"/>
        <v>30000</v>
      </c>
    </row>
    <row r="136" spans="3:36" ht="58.95" customHeight="1" x14ac:dyDescent="0.3">
      <c r="C136" s="407" t="s">
        <v>197</v>
      </c>
      <c r="D136" s="435" t="s">
        <v>58</v>
      </c>
      <c r="E136" s="405" t="s">
        <v>202</v>
      </c>
      <c r="F136" s="406">
        <v>30000</v>
      </c>
      <c r="G136" s="436">
        <v>46208</v>
      </c>
      <c r="H136" s="421">
        <v>46499</v>
      </c>
      <c r="I136" s="585"/>
      <c r="K136" s="723"/>
      <c r="L136" s="146"/>
      <c r="M136" s="146"/>
      <c r="N136" s="146"/>
      <c r="O136" s="146"/>
      <c r="P136" s="146"/>
      <c r="Q136" s="591">
        <v>6000</v>
      </c>
      <c r="R136" s="591">
        <v>0</v>
      </c>
      <c r="S136" s="591">
        <v>0</v>
      </c>
      <c r="T136" s="591">
        <v>0</v>
      </c>
      <c r="U136" s="591">
        <v>12000</v>
      </c>
      <c r="V136" s="598">
        <v>0</v>
      </c>
      <c r="W136" s="850">
        <v>0</v>
      </c>
      <c r="X136" s="591">
        <v>0</v>
      </c>
      <c r="Y136" s="591">
        <v>0</v>
      </c>
      <c r="Z136" s="591">
        <v>12000</v>
      </c>
      <c r="AA136" s="146"/>
      <c r="AB136" s="146"/>
      <c r="AC136" s="146"/>
      <c r="AD136" s="146"/>
      <c r="AE136" s="146"/>
      <c r="AF136" s="146"/>
      <c r="AG136" s="146"/>
      <c r="AH136" s="724"/>
      <c r="AI136" s="860" t="str">
        <f t="shared" si="97"/>
        <v>Si</v>
      </c>
      <c r="AJ136" s="862">
        <f t="shared" si="98"/>
        <v>30000</v>
      </c>
    </row>
    <row r="137" spans="3:36" ht="28.8" x14ac:dyDescent="0.3">
      <c r="C137" s="407" t="s">
        <v>197</v>
      </c>
      <c r="D137" s="435" t="s">
        <v>203</v>
      </c>
      <c r="E137" s="405" t="s">
        <v>204</v>
      </c>
      <c r="F137" s="406">
        <v>25000</v>
      </c>
      <c r="G137" s="436">
        <v>46148</v>
      </c>
      <c r="H137" s="421">
        <v>46328</v>
      </c>
      <c r="I137" s="585"/>
      <c r="K137" s="723"/>
      <c r="L137" s="146"/>
      <c r="M137" s="146"/>
      <c r="N137" s="146"/>
      <c r="O137" s="591">
        <v>3571.4285714285716</v>
      </c>
      <c r="P137" s="591">
        <v>3571.4285714285716</v>
      </c>
      <c r="Q137" s="591">
        <v>3571.4285714285716</v>
      </c>
      <c r="R137" s="591">
        <v>3571.4285714285716</v>
      </c>
      <c r="S137" s="591">
        <v>3571.4285714285716</v>
      </c>
      <c r="T137" s="591">
        <v>3571.4285714285716</v>
      </c>
      <c r="U137" s="591">
        <v>3571.4285714285716</v>
      </c>
      <c r="V137" s="724"/>
      <c r="W137" s="849"/>
      <c r="X137" s="146"/>
      <c r="Y137" s="146"/>
      <c r="Z137" s="146"/>
      <c r="AA137" s="146"/>
      <c r="AB137" s="146"/>
      <c r="AC137" s="146"/>
      <c r="AD137" s="146"/>
      <c r="AE137" s="146"/>
      <c r="AF137" s="146"/>
      <c r="AG137" s="146"/>
      <c r="AH137" s="724"/>
      <c r="AI137" s="860" t="str">
        <f t="shared" si="97"/>
        <v>Si</v>
      </c>
      <c r="AJ137" s="862">
        <f t="shared" si="98"/>
        <v>25000.000000000004</v>
      </c>
    </row>
    <row r="138" spans="3:36" ht="28.8" x14ac:dyDescent="0.3">
      <c r="C138" s="407" t="s">
        <v>197</v>
      </c>
      <c r="D138" s="435" t="s">
        <v>58</v>
      </c>
      <c r="E138" s="405" t="s">
        <v>205</v>
      </c>
      <c r="F138" s="387">
        <v>150000</v>
      </c>
      <c r="G138" s="436">
        <v>46178</v>
      </c>
      <c r="H138" s="421">
        <v>46328</v>
      </c>
      <c r="I138" s="573"/>
      <c r="K138" s="723"/>
      <c r="L138" s="146"/>
      <c r="M138" s="146"/>
      <c r="N138" s="146"/>
      <c r="O138" s="146"/>
      <c r="P138" s="591">
        <v>30000</v>
      </c>
      <c r="Q138" s="591"/>
      <c r="R138" s="591">
        <v>45000</v>
      </c>
      <c r="S138" s="591">
        <v>45000</v>
      </c>
      <c r="T138" s="591"/>
      <c r="U138" s="591">
        <v>30000</v>
      </c>
      <c r="V138" s="724"/>
      <c r="W138" s="849"/>
      <c r="X138" s="146"/>
      <c r="Y138" s="146"/>
      <c r="Z138" s="146"/>
      <c r="AA138" s="146"/>
      <c r="AB138" s="146"/>
      <c r="AC138" s="146"/>
      <c r="AD138" s="146"/>
      <c r="AE138" s="146"/>
      <c r="AF138" s="146"/>
      <c r="AG138" s="146"/>
      <c r="AH138" s="724"/>
      <c r="AI138" s="860" t="str">
        <f t="shared" si="97"/>
        <v>Si</v>
      </c>
      <c r="AJ138" s="862">
        <f t="shared" si="98"/>
        <v>150000</v>
      </c>
    </row>
    <row r="139" spans="3:36" ht="15" thickBot="1" x14ac:dyDescent="0.35">
      <c r="C139" s="426" t="s">
        <v>197</v>
      </c>
      <c r="D139" s="429" t="s">
        <v>206</v>
      </c>
      <c r="E139" s="427" t="s">
        <v>189</v>
      </c>
      <c r="F139" s="408">
        <v>25000</v>
      </c>
      <c r="G139" s="447" t="s">
        <v>63</v>
      </c>
      <c r="H139" s="412" t="s">
        <v>63</v>
      </c>
      <c r="K139" s="723"/>
      <c r="L139" s="146"/>
      <c r="M139" s="146"/>
      <c r="N139" s="146"/>
      <c r="O139" s="591">
        <v>1388.8888888888889</v>
      </c>
      <c r="P139" s="591">
        <v>1388.8888888888889</v>
      </c>
      <c r="Q139" s="591">
        <v>1388.8888888888889</v>
      </c>
      <c r="R139" s="591">
        <v>1388.8888888888889</v>
      </c>
      <c r="S139" s="591">
        <v>1388.8888888888889</v>
      </c>
      <c r="T139" s="591">
        <v>1388.8888888888889</v>
      </c>
      <c r="U139" s="591">
        <v>1388.8888888888889</v>
      </c>
      <c r="V139" s="598">
        <v>1388.8888888888889</v>
      </c>
      <c r="W139" s="850">
        <v>1388.8888888888889</v>
      </c>
      <c r="X139" s="591">
        <v>1388.8888888888889</v>
      </c>
      <c r="Y139" s="591">
        <v>1388.8888888888889</v>
      </c>
      <c r="Z139" s="591">
        <v>1388.8888888888889</v>
      </c>
      <c r="AA139" s="591">
        <v>1388.8888888888889</v>
      </c>
      <c r="AB139" s="591">
        <v>1388.8888888888889</v>
      </c>
      <c r="AC139" s="591">
        <v>1388.8888888888889</v>
      </c>
      <c r="AD139" s="591">
        <v>1388.8888888888889</v>
      </c>
      <c r="AE139" s="591">
        <v>1388.8888888888889</v>
      </c>
      <c r="AF139" s="591">
        <v>1388.8888888888889</v>
      </c>
      <c r="AG139" s="146"/>
      <c r="AH139" s="724"/>
      <c r="AI139" s="860" t="str">
        <f t="shared" si="97"/>
        <v>Si</v>
      </c>
      <c r="AJ139" s="862">
        <f t="shared" si="98"/>
        <v>25000.000000000011</v>
      </c>
    </row>
    <row r="140" spans="3:36" ht="15" thickBot="1" x14ac:dyDescent="0.35">
      <c r="E140" s="462" t="s">
        <v>26</v>
      </c>
      <c r="F140" s="463">
        <f>SUM(F133:F139)</f>
        <v>340000</v>
      </c>
      <c r="K140" s="739">
        <f>+SUM(K133:K139)</f>
        <v>0</v>
      </c>
      <c r="L140" s="738">
        <f t="shared" ref="L140:U140" si="99">+SUM(L133:L139)</f>
        <v>0</v>
      </c>
      <c r="M140" s="738">
        <f t="shared" si="99"/>
        <v>0</v>
      </c>
      <c r="N140" s="738">
        <f t="shared" si="99"/>
        <v>0</v>
      </c>
      <c r="O140" s="738">
        <f t="shared" si="99"/>
        <v>4960.3174603174602</v>
      </c>
      <c r="P140" s="738">
        <f t="shared" si="99"/>
        <v>34960.317460317463</v>
      </c>
      <c r="Q140" s="738">
        <f t="shared" si="99"/>
        <v>10960.317460317461</v>
      </c>
      <c r="R140" s="738">
        <f t="shared" si="99"/>
        <v>49960.317460317463</v>
      </c>
      <c r="S140" s="738">
        <f t="shared" si="99"/>
        <v>49960.317460317463</v>
      </c>
      <c r="T140" s="738">
        <f t="shared" si="99"/>
        <v>4960.3174603174602</v>
      </c>
      <c r="U140" s="738">
        <f t="shared" si="99"/>
        <v>46960.317460317463</v>
      </c>
      <c r="V140" s="853">
        <f>+SUM(V133:V139)</f>
        <v>1388.8888888888889</v>
      </c>
      <c r="W140" s="739">
        <f>+SUM(W133:W139)</f>
        <v>13013.888888888889</v>
      </c>
      <c r="X140" s="738">
        <f t="shared" ref="X140" si="100">+SUM(X133:X139)</f>
        <v>13013.888888888889</v>
      </c>
      <c r="Y140" s="738">
        <f t="shared" ref="Y140" si="101">+SUM(Y133:Y139)</f>
        <v>13013.888888888889</v>
      </c>
      <c r="Z140" s="738">
        <f t="shared" ref="Z140" si="102">+SUM(Z133:Z139)</f>
        <v>25013.888888888891</v>
      </c>
      <c r="AA140" s="738">
        <f t="shared" ref="AA140" si="103">+SUM(AA133:AA139)</f>
        <v>13013.888888888889</v>
      </c>
      <c r="AB140" s="738">
        <f t="shared" ref="AB140" si="104">+SUM(AB133:AB139)</f>
        <v>13013.888888888889</v>
      </c>
      <c r="AC140" s="738">
        <f t="shared" ref="AC140" si="105">+SUM(AC133:AC139)</f>
        <v>13013.888888888889</v>
      </c>
      <c r="AD140" s="738">
        <f t="shared" ref="AD140" si="106">+SUM(AD133:AD139)</f>
        <v>13013.888888888889</v>
      </c>
      <c r="AE140" s="738">
        <f t="shared" ref="AE140" si="107">+SUM(AE133:AE139)</f>
        <v>9888.8888888888887</v>
      </c>
      <c r="AF140" s="738">
        <f t="shared" ref="AF140" si="108">+SUM(AF133:AF139)</f>
        <v>9888.8888888888887</v>
      </c>
      <c r="AG140" s="738">
        <f t="shared" ref="AG140" si="109">+SUM(AG133:AG139)</f>
        <v>0</v>
      </c>
      <c r="AH140" s="853">
        <f t="shared" ref="AH140" si="110">+SUM(AH133:AH139)</f>
        <v>0</v>
      </c>
      <c r="AI140" s="861"/>
    </row>
    <row r="141" spans="3:36" ht="15" thickBot="1" x14ac:dyDescent="0.35">
      <c r="E141" s="857"/>
      <c r="F141" s="858"/>
      <c r="G141" s="859"/>
      <c r="K141" s="971">
        <f>+SUM(K140:V140)</f>
        <v>204111.11111111109</v>
      </c>
      <c r="L141" s="972"/>
      <c r="M141" s="972"/>
      <c r="N141" s="972"/>
      <c r="O141" s="972"/>
      <c r="P141" s="972"/>
      <c r="Q141" s="972"/>
      <c r="R141" s="972"/>
      <c r="S141" s="972"/>
      <c r="T141" s="972"/>
      <c r="U141" s="972"/>
      <c r="V141" s="973"/>
      <c r="W141" s="971">
        <f>+SUM(W140:AH140)</f>
        <v>135888.88888888888</v>
      </c>
      <c r="X141" s="972"/>
      <c r="Y141" s="972"/>
      <c r="Z141" s="972"/>
      <c r="AA141" s="972"/>
      <c r="AB141" s="972"/>
      <c r="AC141" s="972"/>
      <c r="AD141" s="972"/>
      <c r="AE141" s="972"/>
      <c r="AF141" s="972"/>
      <c r="AG141" s="972"/>
      <c r="AH141" s="973"/>
      <c r="AI141" s="860" t="str">
        <f>IF(SUM(K141:AH141)=F140,"Si","No")</f>
        <v>Si</v>
      </c>
      <c r="AJ141" s="864">
        <f>+SUM(K141:AH141)</f>
        <v>340000</v>
      </c>
    </row>
    <row r="142" spans="3:36" x14ac:dyDescent="0.3">
      <c r="C142" s="958" t="s">
        <v>0</v>
      </c>
      <c r="D142" s="959"/>
      <c r="E142" s="417" t="s">
        <v>1</v>
      </c>
      <c r="F142" s="417" t="s">
        <v>2</v>
      </c>
      <c r="G142" s="418" t="s">
        <v>3</v>
      </c>
      <c r="K142" s="946"/>
      <c r="L142" s="947"/>
      <c r="M142" s="947"/>
      <c r="N142" s="947"/>
      <c r="O142" s="947"/>
      <c r="P142" s="947"/>
      <c r="Q142" s="947"/>
      <c r="R142" s="947"/>
      <c r="S142" s="947"/>
      <c r="T142" s="947"/>
      <c r="U142" s="947"/>
      <c r="V142" s="948"/>
      <c r="W142" s="946"/>
      <c r="X142" s="947"/>
      <c r="Y142" s="947"/>
      <c r="Z142" s="947"/>
      <c r="AA142" s="947"/>
      <c r="AB142" s="947"/>
      <c r="AC142" s="947"/>
      <c r="AD142" s="947"/>
      <c r="AE142" s="947"/>
      <c r="AF142" s="947"/>
      <c r="AG142" s="947"/>
      <c r="AH142" s="948"/>
      <c r="AI142" s="861"/>
    </row>
    <row r="143" spans="3:36" ht="29.4" thickBot="1" x14ac:dyDescent="0.35">
      <c r="C143" s="956" t="s">
        <v>207</v>
      </c>
      <c r="D143" s="957"/>
      <c r="E143" s="430" t="s">
        <v>208</v>
      </c>
      <c r="F143" s="431">
        <v>46023</v>
      </c>
      <c r="G143" s="432">
        <v>46568</v>
      </c>
      <c r="K143" s="949"/>
      <c r="L143" s="950"/>
      <c r="M143" s="950"/>
      <c r="N143" s="950"/>
      <c r="O143" s="950"/>
      <c r="P143" s="950"/>
      <c r="Q143" s="950"/>
      <c r="R143" s="950"/>
      <c r="S143" s="950"/>
      <c r="T143" s="950"/>
      <c r="U143" s="950"/>
      <c r="V143" s="951"/>
      <c r="W143" s="949"/>
      <c r="X143" s="950"/>
      <c r="Y143" s="950"/>
      <c r="Z143" s="950"/>
      <c r="AA143" s="950"/>
      <c r="AB143" s="950"/>
      <c r="AC143" s="950"/>
      <c r="AD143" s="950"/>
      <c r="AE143" s="950"/>
      <c r="AF143" s="950"/>
      <c r="AG143" s="950"/>
      <c r="AH143" s="951"/>
      <c r="AI143" s="861"/>
    </row>
    <row r="144" spans="3:36" x14ac:dyDescent="0.3">
      <c r="C144" s="416" t="s">
        <v>0</v>
      </c>
      <c r="D144" s="417" t="s">
        <v>6</v>
      </c>
      <c r="E144" s="417" t="s">
        <v>7</v>
      </c>
      <c r="F144" s="417" t="s">
        <v>8</v>
      </c>
      <c r="G144" s="417" t="s">
        <v>9</v>
      </c>
      <c r="H144" s="418" t="s">
        <v>10</v>
      </c>
      <c r="K144" s="946"/>
      <c r="L144" s="947"/>
      <c r="M144" s="947"/>
      <c r="N144" s="947"/>
      <c r="O144" s="947"/>
      <c r="P144" s="947"/>
      <c r="Q144" s="947"/>
      <c r="R144" s="947"/>
      <c r="S144" s="947"/>
      <c r="T144" s="947"/>
      <c r="U144" s="947"/>
      <c r="V144" s="948"/>
      <c r="W144" s="946"/>
      <c r="X144" s="947"/>
      <c r="Y144" s="947"/>
      <c r="Z144" s="947"/>
      <c r="AA144" s="947"/>
      <c r="AB144" s="947"/>
      <c r="AC144" s="947"/>
      <c r="AD144" s="947"/>
      <c r="AE144" s="947"/>
      <c r="AF144" s="947"/>
      <c r="AG144" s="947"/>
      <c r="AH144" s="948"/>
      <c r="AI144" s="861"/>
    </row>
    <row r="145" spans="3:36" ht="57.6" x14ac:dyDescent="0.3">
      <c r="C145" s="407" t="s">
        <v>207</v>
      </c>
      <c r="D145" s="435" t="s">
        <v>209</v>
      </c>
      <c r="E145" s="405" t="s">
        <v>210</v>
      </c>
      <c r="F145" s="406">
        <v>350000</v>
      </c>
      <c r="G145" s="436">
        <v>46032</v>
      </c>
      <c r="H145" s="421">
        <v>46092</v>
      </c>
      <c r="I145" s="585"/>
      <c r="K145" s="723"/>
      <c r="L145" s="146"/>
      <c r="M145" s="146"/>
      <c r="N145" s="146"/>
      <c r="O145" s="146"/>
      <c r="P145" s="146"/>
      <c r="Q145" s="146"/>
      <c r="R145" s="146"/>
      <c r="S145" s="146"/>
      <c r="T145" s="146"/>
      <c r="U145" s="146"/>
      <c r="V145" s="724"/>
      <c r="W145" s="850">
        <v>116666.66666666667</v>
      </c>
      <c r="X145" s="591">
        <v>116666.66666666667</v>
      </c>
      <c r="Y145" s="591">
        <v>116666.66666666667</v>
      </c>
      <c r="Z145" s="146"/>
      <c r="AA145" s="146"/>
      <c r="AB145" s="146"/>
      <c r="AC145" s="146"/>
      <c r="AD145" s="146"/>
      <c r="AE145" s="146"/>
      <c r="AF145" s="146"/>
      <c r="AG145" s="146"/>
      <c r="AH145" s="724"/>
      <c r="AI145" s="860" t="str">
        <f t="shared" ref="AI145:AI153" si="111">IF(SUM(K145:AH145)=F145,"Si","No")</f>
        <v>Si</v>
      </c>
      <c r="AJ145" s="862">
        <f t="shared" ref="AJ145:AJ153" si="112">+SUM(K145:AH145)</f>
        <v>350000</v>
      </c>
    </row>
    <row r="146" spans="3:36" ht="28.8" x14ac:dyDescent="0.3">
      <c r="C146" s="407" t="s">
        <v>207</v>
      </c>
      <c r="D146" s="435" t="s">
        <v>211</v>
      </c>
      <c r="E146" s="405" t="s">
        <v>212</v>
      </c>
      <c r="F146" s="406">
        <v>350000</v>
      </c>
      <c r="G146" s="436">
        <v>46080</v>
      </c>
      <c r="H146" s="421">
        <v>46260</v>
      </c>
      <c r="I146" s="585"/>
      <c r="K146" s="723"/>
      <c r="L146" s="591">
        <v>50000</v>
      </c>
      <c r="M146" s="591">
        <v>50000</v>
      </c>
      <c r="N146" s="591">
        <v>50000</v>
      </c>
      <c r="O146" s="591">
        <v>50000</v>
      </c>
      <c r="P146" s="591">
        <v>50000</v>
      </c>
      <c r="Q146" s="591">
        <v>50000</v>
      </c>
      <c r="R146" s="591">
        <v>50000</v>
      </c>
      <c r="S146" s="146"/>
      <c r="T146" s="146"/>
      <c r="U146" s="146"/>
      <c r="V146" s="724"/>
      <c r="W146" s="849"/>
      <c r="X146" s="146"/>
      <c r="Y146" s="146"/>
      <c r="Z146" s="146"/>
      <c r="AA146" s="146"/>
      <c r="AB146" s="146"/>
      <c r="AC146" s="146"/>
      <c r="AD146" s="146"/>
      <c r="AE146" s="146"/>
      <c r="AF146" s="146"/>
      <c r="AG146" s="146"/>
      <c r="AH146" s="724"/>
      <c r="AI146" s="860" t="str">
        <f t="shared" si="111"/>
        <v>Si</v>
      </c>
      <c r="AJ146" s="862">
        <f t="shared" si="112"/>
        <v>350000</v>
      </c>
    </row>
    <row r="147" spans="3:36" x14ac:dyDescent="0.3">
      <c r="C147" s="407" t="s">
        <v>207</v>
      </c>
      <c r="D147" s="435" t="s">
        <v>213</v>
      </c>
      <c r="E147" s="405" t="s">
        <v>214</v>
      </c>
      <c r="F147" s="406">
        <v>100000</v>
      </c>
      <c r="G147" s="436">
        <v>46025</v>
      </c>
      <c r="H147" s="421">
        <v>46386</v>
      </c>
      <c r="I147" s="573"/>
      <c r="K147" s="711"/>
      <c r="L147" s="710"/>
      <c r="M147" s="710"/>
      <c r="N147" s="710"/>
      <c r="O147" s="710"/>
      <c r="P147" s="710"/>
      <c r="Q147" s="710"/>
      <c r="R147" s="710"/>
      <c r="S147" s="710"/>
      <c r="T147" s="710"/>
      <c r="U147" s="710"/>
      <c r="V147" s="712"/>
      <c r="W147" s="850">
        <v>8333.3333333333339</v>
      </c>
      <c r="X147" s="591">
        <v>8333.3333333333339</v>
      </c>
      <c r="Y147" s="591">
        <v>8333.3333333333339</v>
      </c>
      <c r="Z147" s="591">
        <v>8333.3333333333339</v>
      </c>
      <c r="AA147" s="591">
        <v>8333.3333333333339</v>
      </c>
      <c r="AB147" s="591">
        <v>8333.3333333333339</v>
      </c>
      <c r="AC147" s="591">
        <v>8333.3333333333339</v>
      </c>
      <c r="AD147" s="591">
        <v>8333.3333333333339</v>
      </c>
      <c r="AE147" s="591">
        <v>8333.3333333333339</v>
      </c>
      <c r="AF147" s="591">
        <v>8333.3333333333339</v>
      </c>
      <c r="AG147" s="591">
        <v>8333.3333333333339</v>
      </c>
      <c r="AH147" s="598">
        <v>8333.3333333333339</v>
      </c>
      <c r="AI147" s="860" t="str">
        <f t="shared" si="111"/>
        <v>Si</v>
      </c>
      <c r="AJ147" s="862">
        <f t="shared" si="112"/>
        <v>99999.999999999985</v>
      </c>
    </row>
    <row r="148" spans="3:36" ht="28.8" x14ac:dyDescent="0.3">
      <c r="C148" s="407" t="s">
        <v>207</v>
      </c>
      <c r="D148" s="435" t="s">
        <v>211</v>
      </c>
      <c r="E148" s="405" t="s">
        <v>215</v>
      </c>
      <c r="F148" s="406">
        <v>125000</v>
      </c>
      <c r="G148" s="436">
        <v>46451</v>
      </c>
      <c r="H148" s="421">
        <v>46693</v>
      </c>
      <c r="I148" s="573"/>
      <c r="K148" s="723"/>
      <c r="L148" s="146"/>
      <c r="M148" s="146"/>
      <c r="N148" s="146"/>
      <c r="O148" s="146"/>
      <c r="P148" s="146"/>
      <c r="Q148" s="146"/>
      <c r="R148" s="146"/>
      <c r="S148" s="146"/>
      <c r="T148" s="146"/>
      <c r="U148" s="146"/>
      <c r="V148" s="724"/>
      <c r="W148" s="849"/>
      <c r="X148" s="146"/>
      <c r="Y148" s="591">
        <v>17857.142857142859</v>
      </c>
      <c r="Z148" s="591">
        <v>17857.142857142859</v>
      </c>
      <c r="AA148" s="591">
        <v>17857.142857142859</v>
      </c>
      <c r="AB148" s="591">
        <v>17857.142857142859</v>
      </c>
      <c r="AC148" s="591">
        <v>17857.142857142859</v>
      </c>
      <c r="AD148" s="591">
        <v>17857.142857142859</v>
      </c>
      <c r="AE148" s="591">
        <v>17857.142857142859</v>
      </c>
      <c r="AF148" s="146"/>
      <c r="AG148" s="146"/>
      <c r="AH148" s="724"/>
      <c r="AI148" s="860" t="str">
        <f t="shared" si="111"/>
        <v>Si</v>
      </c>
      <c r="AJ148" s="862">
        <f t="shared" si="112"/>
        <v>125000</v>
      </c>
    </row>
    <row r="149" spans="3:36" x14ac:dyDescent="0.3">
      <c r="C149" s="407" t="s">
        <v>207</v>
      </c>
      <c r="D149" s="435" t="s">
        <v>209</v>
      </c>
      <c r="E149" s="405" t="s">
        <v>191</v>
      </c>
      <c r="F149" s="406">
        <v>3500</v>
      </c>
      <c r="G149" s="436" t="s">
        <v>63</v>
      </c>
      <c r="H149" s="411" t="s">
        <v>63</v>
      </c>
      <c r="K149" s="597">
        <v>291.66666666666669</v>
      </c>
      <c r="L149" s="591">
        <v>291.66666666666669</v>
      </c>
      <c r="M149" s="591">
        <v>291.66666666666669</v>
      </c>
      <c r="N149" s="591">
        <v>291.66666666666669</v>
      </c>
      <c r="O149" s="591">
        <v>291.66666666666669</v>
      </c>
      <c r="P149" s="591">
        <v>291.66666666666669</v>
      </c>
      <c r="Q149" s="591">
        <v>291.66666666666669</v>
      </c>
      <c r="R149" s="591">
        <v>291.66666666666669</v>
      </c>
      <c r="S149" s="591">
        <v>291.66666666666669</v>
      </c>
      <c r="T149" s="591">
        <v>291.66666666666669</v>
      </c>
      <c r="U149" s="591">
        <v>291.66666666666669</v>
      </c>
      <c r="V149" s="598">
        <v>291.66666666666669</v>
      </c>
      <c r="W149" s="849"/>
      <c r="X149" s="146"/>
      <c r="Y149" s="146"/>
      <c r="Z149" s="146"/>
      <c r="AA149" s="146"/>
      <c r="AB149" s="146"/>
      <c r="AC149" s="146"/>
      <c r="AD149" s="146"/>
      <c r="AE149" s="146"/>
      <c r="AF149" s="146"/>
      <c r="AG149" s="146"/>
      <c r="AH149" s="724"/>
      <c r="AI149" s="860" t="str">
        <f t="shared" si="111"/>
        <v>Si</v>
      </c>
      <c r="AJ149" s="862">
        <f t="shared" si="112"/>
        <v>3499.9999999999995</v>
      </c>
    </row>
    <row r="150" spans="3:36" x14ac:dyDescent="0.3">
      <c r="C150" s="407" t="s">
        <v>207</v>
      </c>
      <c r="D150" s="435" t="s">
        <v>216</v>
      </c>
      <c r="E150" s="405" t="s">
        <v>189</v>
      </c>
      <c r="F150" s="387">
        <v>15000</v>
      </c>
      <c r="G150" s="436" t="s">
        <v>63</v>
      </c>
      <c r="H150" s="411" t="s">
        <v>63</v>
      </c>
      <c r="K150" s="597">
        <v>1250</v>
      </c>
      <c r="L150" s="591">
        <v>1250</v>
      </c>
      <c r="M150" s="591">
        <v>1250</v>
      </c>
      <c r="N150" s="591">
        <v>1250</v>
      </c>
      <c r="O150" s="591">
        <v>1250</v>
      </c>
      <c r="P150" s="591">
        <v>1250</v>
      </c>
      <c r="Q150" s="591">
        <v>1250</v>
      </c>
      <c r="R150" s="591">
        <v>1250</v>
      </c>
      <c r="S150" s="591">
        <v>1250</v>
      </c>
      <c r="T150" s="591">
        <v>1250</v>
      </c>
      <c r="U150" s="591">
        <v>1250</v>
      </c>
      <c r="V150" s="598">
        <v>1250</v>
      </c>
      <c r="W150" s="849"/>
      <c r="X150" s="146"/>
      <c r="Y150" s="146"/>
      <c r="Z150" s="146"/>
      <c r="AA150" s="146"/>
      <c r="AB150" s="146"/>
      <c r="AC150" s="146"/>
      <c r="AD150" s="146"/>
      <c r="AE150" s="146"/>
      <c r="AF150" s="146"/>
      <c r="AG150" s="146"/>
      <c r="AH150" s="724"/>
      <c r="AI150" s="860" t="str">
        <f t="shared" si="111"/>
        <v>Si</v>
      </c>
      <c r="AJ150" s="862">
        <f t="shared" si="112"/>
        <v>15000</v>
      </c>
    </row>
    <row r="151" spans="3:36" x14ac:dyDescent="0.3">
      <c r="C151" s="407" t="s">
        <v>207</v>
      </c>
      <c r="D151" s="435" t="s">
        <v>217</v>
      </c>
      <c r="E151" s="405" t="s">
        <v>187</v>
      </c>
      <c r="F151" s="387">
        <v>4200</v>
      </c>
      <c r="G151" s="436" t="s">
        <v>63</v>
      </c>
      <c r="H151" s="411" t="s">
        <v>63</v>
      </c>
      <c r="K151" s="597">
        <v>350</v>
      </c>
      <c r="L151" s="591">
        <v>350</v>
      </c>
      <c r="M151" s="591">
        <v>350</v>
      </c>
      <c r="N151" s="591">
        <v>350</v>
      </c>
      <c r="O151" s="591">
        <v>350</v>
      </c>
      <c r="P151" s="591">
        <v>350</v>
      </c>
      <c r="Q151" s="591">
        <v>350</v>
      </c>
      <c r="R151" s="591">
        <v>350</v>
      </c>
      <c r="S151" s="591">
        <v>350</v>
      </c>
      <c r="T151" s="591">
        <v>350</v>
      </c>
      <c r="U151" s="591">
        <v>350</v>
      </c>
      <c r="V151" s="598">
        <v>350</v>
      </c>
      <c r="W151" s="849"/>
      <c r="X151" s="146"/>
      <c r="Y151" s="146"/>
      <c r="Z151" s="146"/>
      <c r="AA151" s="146"/>
      <c r="AB151" s="146"/>
      <c r="AC151" s="146"/>
      <c r="AD151" s="146"/>
      <c r="AE151" s="146"/>
      <c r="AF151" s="146"/>
      <c r="AG151" s="146"/>
      <c r="AH151" s="724"/>
      <c r="AI151" s="860" t="str">
        <f t="shared" si="111"/>
        <v>Si</v>
      </c>
      <c r="AJ151" s="862">
        <f t="shared" si="112"/>
        <v>4200</v>
      </c>
    </row>
    <row r="152" spans="3:36" x14ac:dyDescent="0.3">
      <c r="C152" s="407" t="s">
        <v>207</v>
      </c>
      <c r="D152" s="435" t="s">
        <v>218</v>
      </c>
      <c r="E152" s="405" t="s">
        <v>111</v>
      </c>
      <c r="F152" s="387">
        <v>15000</v>
      </c>
      <c r="G152" s="436" t="s">
        <v>63</v>
      </c>
      <c r="H152" s="411" t="s">
        <v>63</v>
      </c>
      <c r="K152" s="597">
        <v>1250</v>
      </c>
      <c r="L152" s="591">
        <v>1250</v>
      </c>
      <c r="M152" s="591">
        <v>1250</v>
      </c>
      <c r="N152" s="591">
        <v>1250</v>
      </c>
      <c r="O152" s="591">
        <v>1250</v>
      </c>
      <c r="P152" s="591">
        <v>1250</v>
      </c>
      <c r="Q152" s="591">
        <v>1250</v>
      </c>
      <c r="R152" s="591">
        <v>1250</v>
      </c>
      <c r="S152" s="591">
        <v>1250</v>
      </c>
      <c r="T152" s="591">
        <v>1250</v>
      </c>
      <c r="U152" s="591">
        <v>1250</v>
      </c>
      <c r="V152" s="598">
        <v>1250</v>
      </c>
      <c r="W152" s="849"/>
      <c r="X152" s="146"/>
      <c r="Y152" s="146"/>
      <c r="Z152" s="146"/>
      <c r="AA152" s="146"/>
      <c r="AB152" s="146"/>
      <c r="AC152" s="146"/>
      <c r="AD152" s="146"/>
      <c r="AE152" s="146"/>
      <c r="AF152" s="146"/>
      <c r="AG152" s="146"/>
      <c r="AH152" s="724"/>
      <c r="AI152" s="860" t="str">
        <f t="shared" si="111"/>
        <v>Si</v>
      </c>
      <c r="AJ152" s="862">
        <f t="shared" si="112"/>
        <v>15000</v>
      </c>
    </row>
    <row r="153" spans="3:36" ht="31.95" customHeight="1" thickBot="1" x14ac:dyDescent="0.35">
      <c r="C153" s="426" t="s">
        <v>207</v>
      </c>
      <c r="D153" s="429" t="s">
        <v>219</v>
      </c>
      <c r="E153" s="427" t="s">
        <v>220</v>
      </c>
      <c r="F153" s="408">
        <v>900</v>
      </c>
      <c r="G153" s="440" t="s">
        <v>63</v>
      </c>
      <c r="H153" s="412" t="s">
        <v>63</v>
      </c>
      <c r="K153" s="597">
        <v>75</v>
      </c>
      <c r="L153" s="591">
        <v>75</v>
      </c>
      <c r="M153" s="591">
        <v>75</v>
      </c>
      <c r="N153" s="591">
        <v>75</v>
      </c>
      <c r="O153" s="591">
        <v>75</v>
      </c>
      <c r="P153" s="591">
        <v>75</v>
      </c>
      <c r="Q153" s="591">
        <v>75</v>
      </c>
      <c r="R153" s="591">
        <v>75</v>
      </c>
      <c r="S153" s="591">
        <v>75</v>
      </c>
      <c r="T153" s="591">
        <v>75</v>
      </c>
      <c r="U153" s="591">
        <v>75</v>
      </c>
      <c r="V153" s="598">
        <v>75</v>
      </c>
      <c r="W153" s="849"/>
      <c r="X153" s="146"/>
      <c r="Y153" s="146"/>
      <c r="Z153" s="146"/>
      <c r="AA153" s="146"/>
      <c r="AB153" s="146"/>
      <c r="AC153" s="146"/>
      <c r="AD153" s="146"/>
      <c r="AE153" s="146"/>
      <c r="AF153" s="146"/>
      <c r="AG153" s="146"/>
      <c r="AH153" s="724"/>
      <c r="AI153" s="860" t="str">
        <f t="shared" si="111"/>
        <v>Si</v>
      </c>
      <c r="AJ153" s="862">
        <f t="shared" si="112"/>
        <v>900</v>
      </c>
    </row>
    <row r="154" spans="3:36" ht="15" thickBot="1" x14ac:dyDescent="0.35">
      <c r="E154" s="462" t="s">
        <v>26</v>
      </c>
      <c r="F154" s="463">
        <f>SUM(F145:F153)</f>
        <v>963600</v>
      </c>
      <c r="K154" s="739">
        <f>+SUM(K145:K153)</f>
        <v>3216.666666666667</v>
      </c>
      <c r="L154" s="738">
        <f t="shared" ref="L154:V154" si="113">+SUM(L145:L153)</f>
        <v>53216.666666666664</v>
      </c>
      <c r="M154" s="738">
        <f t="shared" si="113"/>
        <v>53216.666666666664</v>
      </c>
      <c r="N154" s="738">
        <f t="shared" si="113"/>
        <v>53216.666666666664</v>
      </c>
      <c r="O154" s="738">
        <f t="shared" si="113"/>
        <v>53216.666666666664</v>
      </c>
      <c r="P154" s="738">
        <f t="shared" si="113"/>
        <v>53216.666666666664</v>
      </c>
      <c r="Q154" s="738">
        <f t="shared" si="113"/>
        <v>53216.666666666664</v>
      </c>
      <c r="R154" s="738">
        <f t="shared" si="113"/>
        <v>53216.666666666664</v>
      </c>
      <c r="S154" s="738">
        <f t="shared" si="113"/>
        <v>3216.666666666667</v>
      </c>
      <c r="T154" s="738">
        <f t="shared" si="113"/>
        <v>3216.666666666667</v>
      </c>
      <c r="U154" s="738">
        <f t="shared" si="113"/>
        <v>3216.666666666667</v>
      </c>
      <c r="V154" s="853">
        <f t="shared" si="113"/>
        <v>3216.666666666667</v>
      </c>
      <c r="W154" s="739">
        <f>+SUM(W145:W153)</f>
        <v>125000</v>
      </c>
      <c r="X154" s="738">
        <f t="shared" ref="X154" si="114">+SUM(X145:X153)</f>
        <v>125000</v>
      </c>
      <c r="Y154" s="738">
        <f t="shared" ref="Y154" si="115">+SUM(Y145:Y153)</f>
        <v>142857.14285714287</v>
      </c>
      <c r="Z154" s="738">
        <f t="shared" ref="Z154" si="116">+SUM(Z145:Z153)</f>
        <v>26190.476190476191</v>
      </c>
      <c r="AA154" s="738">
        <f t="shared" ref="AA154" si="117">+SUM(AA145:AA153)</f>
        <v>26190.476190476191</v>
      </c>
      <c r="AB154" s="738">
        <f t="shared" ref="AB154" si="118">+SUM(AB145:AB153)</f>
        <v>26190.476190476191</v>
      </c>
      <c r="AC154" s="738">
        <f t="shared" ref="AC154" si="119">+SUM(AC145:AC153)</f>
        <v>26190.476190476191</v>
      </c>
      <c r="AD154" s="738">
        <f t="shared" ref="AD154" si="120">+SUM(AD145:AD153)</f>
        <v>26190.476190476191</v>
      </c>
      <c r="AE154" s="738">
        <f t="shared" ref="AE154" si="121">+SUM(AE145:AE153)</f>
        <v>26190.476190476191</v>
      </c>
      <c r="AF154" s="738">
        <f t="shared" ref="AF154" si="122">+SUM(AF145:AF153)</f>
        <v>8333.3333333333339</v>
      </c>
      <c r="AG154" s="738">
        <f t="shared" ref="AG154" si="123">+SUM(AG145:AG153)</f>
        <v>8333.3333333333339</v>
      </c>
      <c r="AH154" s="853">
        <f t="shared" ref="AH154" si="124">+SUM(AH145:AH153)</f>
        <v>8333.3333333333339</v>
      </c>
      <c r="AI154" s="861"/>
    </row>
    <row r="155" spans="3:36" ht="15" thickBot="1" x14ac:dyDescent="0.35">
      <c r="E155" s="857"/>
      <c r="F155" s="858"/>
      <c r="G155" s="859"/>
      <c r="K155" s="971">
        <f>+SUM(K154:V154)</f>
        <v>388600.00000000012</v>
      </c>
      <c r="L155" s="972"/>
      <c r="M155" s="972"/>
      <c r="N155" s="972"/>
      <c r="O155" s="972"/>
      <c r="P155" s="972"/>
      <c r="Q155" s="972"/>
      <c r="R155" s="972"/>
      <c r="S155" s="972"/>
      <c r="T155" s="972"/>
      <c r="U155" s="972"/>
      <c r="V155" s="973"/>
      <c r="W155" s="971">
        <f>+SUM(W154:AH154)</f>
        <v>575000.00000000023</v>
      </c>
      <c r="X155" s="972"/>
      <c r="Y155" s="972"/>
      <c r="Z155" s="972"/>
      <c r="AA155" s="972"/>
      <c r="AB155" s="972"/>
      <c r="AC155" s="972"/>
      <c r="AD155" s="972"/>
      <c r="AE155" s="972"/>
      <c r="AF155" s="972"/>
      <c r="AG155" s="972"/>
      <c r="AH155" s="973"/>
      <c r="AI155" s="860" t="str">
        <f>IF(SUM(K155:AH155)=F154,"Si","No")</f>
        <v>Si</v>
      </c>
      <c r="AJ155" s="864">
        <f>+SUM(K155:AH155)</f>
        <v>963600.00000000035</v>
      </c>
    </row>
    <row r="156" spans="3:36" x14ac:dyDescent="0.3">
      <c r="C156" s="958" t="s">
        <v>0</v>
      </c>
      <c r="D156" s="959"/>
      <c r="E156" s="417" t="s">
        <v>1</v>
      </c>
      <c r="F156" s="417" t="s">
        <v>2</v>
      </c>
      <c r="G156" s="418" t="s">
        <v>3</v>
      </c>
      <c r="K156" s="946"/>
      <c r="L156" s="947"/>
      <c r="M156" s="947"/>
      <c r="N156" s="947"/>
      <c r="O156" s="947"/>
      <c r="P156" s="947"/>
      <c r="Q156" s="947"/>
      <c r="R156" s="947"/>
      <c r="S156" s="947"/>
      <c r="T156" s="947"/>
      <c r="U156" s="947"/>
      <c r="V156" s="948"/>
      <c r="W156" s="946"/>
      <c r="X156" s="947"/>
      <c r="Y156" s="947"/>
      <c r="Z156" s="947"/>
      <c r="AA156" s="947"/>
      <c r="AB156" s="947"/>
      <c r="AC156" s="947"/>
      <c r="AD156" s="947"/>
      <c r="AE156" s="947"/>
      <c r="AF156" s="947"/>
      <c r="AG156" s="947"/>
      <c r="AH156" s="948"/>
      <c r="AI156" s="861"/>
    </row>
    <row r="157" spans="3:36" ht="29.4" thickBot="1" x14ac:dyDescent="0.35">
      <c r="C157" s="956" t="s">
        <v>221</v>
      </c>
      <c r="D157" s="957"/>
      <c r="E157" s="430" t="s">
        <v>222</v>
      </c>
      <c r="F157" s="431">
        <v>46023</v>
      </c>
      <c r="G157" s="432">
        <v>46568</v>
      </c>
      <c r="K157" s="949"/>
      <c r="L157" s="950"/>
      <c r="M157" s="950"/>
      <c r="N157" s="950"/>
      <c r="O157" s="950"/>
      <c r="P157" s="950"/>
      <c r="Q157" s="950"/>
      <c r="R157" s="950"/>
      <c r="S157" s="950"/>
      <c r="T157" s="950"/>
      <c r="U157" s="950"/>
      <c r="V157" s="951"/>
      <c r="W157" s="949"/>
      <c r="X157" s="950"/>
      <c r="Y157" s="950"/>
      <c r="Z157" s="950"/>
      <c r="AA157" s="950"/>
      <c r="AB157" s="950"/>
      <c r="AC157" s="950"/>
      <c r="AD157" s="950"/>
      <c r="AE157" s="950"/>
      <c r="AF157" s="950"/>
      <c r="AG157" s="950"/>
      <c r="AH157" s="951"/>
      <c r="AI157" s="861"/>
    </row>
    <row r="158" spans="3:36" x14ac:dyDescent="0.3">
      <c r="C158" s="416" t="s">
        <v>0</v>
      </c>
      <c r="D158" s="417" t="s">
        <v>6</v>
      </c>
      <c r="E158" s="417" t="s">
        <v>7</v>
      </c>
      <c r="F158" s="417" t="s">
        <v>8</v>
      </c>
      <c r="G158" s="417" t="s">
        <v>9</v>
      </c>
      <c r="H158" s="418" t="s">
        <v>10</v>
      </c>
      <c r="K158" s="946"/>
      <c r="L158" s="947"/>
      <c r="M158" s="947"/>
      <c r="N158" s="947"/>
      <c r="O158" s="947"/>
      <c r="P158" s="947"/>
      <c r="Q158" s="947"/>
      <c r="R158" s="947"/>
      <c r="S158" s="947"/>
      <c r="T158" s="947"/>
      <c r="U158" s="947"/>
      <c r="V158" s="948"/>
      <c r="W158" s="946"/>
      <c r="X158" s="947"/>
      <c r="Y158" s="947"/>
      <c r="Z158" s="947"/>
      <c r="AA158" s="947"/>
      <c r="AB158" s="947"/>
      <c r="AC158" s="947"/>
      <c r="AD158" s="947"/>
      <c r="AE158" s="947"/>
      <c r="AF158" s="947"/>
      <c r="AG158" s="947"/>
      <c r="AH158" s="948"/>
      <c r="AI158" s="861"/>
    </row>
    <row r="159" spans="3:36" x14ac:dyDescent="0.3">
      <c r="C159" s="407" t="s">
        <v>221</v>
      </c>
      <c r="D159" s="435" t="s">
        <v>223</v>
      </c>
      <c r="E159" s="405" t="s">
        <v>224</v>
      </c>
      <c r="F159" s="409">
        <v>100000</v>
      </c>
      <c r="G159" s="436">
        <v>46115</v>
      </c>
      <c r="H159" s="421">
        <v>46295</v>
      </c>
      <c r="I159" s="573"/>
      <c r="K159" s="723"/>
      <c r="L159" s="146"/>
      <c r="M159" s="146"/>
      <c r="N159" s="591">
        <v>16666.666666666668</v>
      </c>
      <c r="O159" s="591">
        <v>16666.666666666668</v>
      </c>
      <c r="P159" s="591">
        <v>16666.666666666668</v>
      </c>
      <c r="Q159" s="591">
        <v>16666.666666666668</v>
      </c>
      <c r="R159" s="591">
        <v>16666.666666666668</v>
      </c>
      <c r="S159" s="591">
        <v>16666.666666666668</v>
      </c>
      <c r="T159" s="146"/>
      <c r="U159" s="146"/>
      <c r="V159" s="724"/>
      <c r="W159" s="849"/>
      <c r="X159" s="146"/>
      <c r="Y159" s="146"/>
      <c r="Z159" s="146"/>
      <c r="AA159" s="146"/>
      <c r="AB159" s="146"/>
      <c r="AC159" s="146"/>
      <c r="AD159" s="146"/>
      <c r="AE159" s="146"/>
      <c r="AF159" s="146"/>
      <c r="AG159" s="146"/>
      <c r="AH159" s="724"/>
      <c r="AI159" s="860" t="str">
        <f t="shared" ref="AI159:AI171" si="125">IF(SUM(K159:AH159)=F159,"Si","No")</f>
        <v>Si</v>
      </c>
      <c r="AJ159" s="862">
        <f t="shared" ref="AJ159:AJ171" si="126">+SUM(K159:AH159)</f>
        <v>100000.00000000001</v>
      </c>
    </row>
    <row r="160" spans="3:36" ht="43.2" x14ac:dyDescent="0.3">
      <c r="C160" s="407" t="s">
        <v>221</v>
      </c>
      <c r="D160" s="435" t="s">
        <v>225</v>
      </c>
      <c r="E160" s="405" t="s">
        <v>226</v>
      </c>
      <c r="F160" s="409">
        <v>45000</v>
      </c>
      <c r="G160" s="436">
        <v>46081</v>
      </c>
      <c r="H160" s="421">
        <v>46468</v>
      </c>
      <c r="I160" s="585"/>
      <c r="K160" s="723"/>
      <c r="L160" s="591">
        <v>9000</v>
      </c>
      <c r="M160" s="591">
        <v>0</v>
      </c>
      <c r="N160" s="591">
        <v>0</v>
      </c>
      <c r="O160" s="591">
        <v>0</v>
      </c>
      <c r="P160" s="591">
        <v>0</v>
      </c>
      <c r="Q160" s="591">
        <v>0</v>
      </c>
      <c r="R160" s="591">
        <v>0</v>
      </c>
      <c r="S160" s="591">
        <v>18000</v>
      </c>
      <c r="T160" s="591">
        <v>0</v>
      </c>
      <c r="U160" s="591">
        <v>0</v>
      </c>
      <c r="V160" s="598">
        <v>0</v>
      </c>
      <c r="W160" s="850">
        <v>0</v>
      </c>
      <c r="X160" s="591">
        <v>0</v>
      </c>
      <c r="Y160" s="591">
        <v>18000</v>
      </c>
      <c r="Z160" s="146"/>
      <c r="AA160" s="146"/>
      <c r="AB160" s="146"/>
      <c r="AC160" s="146"/>
      <c r="AD160" s="146"/>
      <c r="AE160" s="146"/>
      <c r="AF160" s="146"/>
      <c r="AG160" s="146"/>
      <c r="AH160" s="724"/>
      <c r="AI160" s="860" t="str">
        <f t="shared" si="125"/>
        <v>Si</v>
      </c>
      <c r="AJ160" s="862">
        <f t="shared" si="126"/>
        <v>45000</v>
      </c>
    </row>
    <row r="161" spans="3:36" ht="28.8" x14ac:dyDescent="0.3">
      <c r="C161" s="407" t="s">
        <v>221</v>
      </c>
      <c r="D161" s="435" t="s">
        <v>225</v>
      </c>
      <c r="E161" s="405" t="s">
        <v>227</v>
      </c>
      <c r="F161" s="409">
        <v>100000</v>
      </c>
      <c r="G161" s="436">
        <v>46054</v>
      </c>
      <c r="H161" s="421">
        <v>46482</v>
      </c>
      <c r="I161" s="585"/>
      <c r="K161" s="723"/>
      <c r="L161" s="591">
        <v>20000</v>
      </c>
      <c r="M161" s="591">
        <v>0</v>
      </c>
      <c r="N161" s="591">
        <v>0</v>
      </c>
      <c r="O161" s="591">
        <v>0</v>
      </c>
      <c r="P161" s="591">
        <v>0</v>
      </c>
      <c r="Q161" s="591">
        <v>0</v>
      </c>
      <c r="R161" s="591">
        <v>0</v>
      </c>
      <c r="S161" s="591">
        <v>40000</v>
      </c>
      <c r="T161" s="591">
        <v>0</v>
      </c>
      <c r="U161" s="591">
        <v>0</v>
      </c>
      <c r="V161" s="598">
        <v>0</v>
      </c>
      <c r="W161" s="850">
        <v>0</v>
      </c>
      <c r="X161" s="591">
        <v>0</v>
      </c>
      <c r="Y161" s="591">
        <v>0</v>
      </c>
      <c r="Z161" s="591">
        <v>40000</v>
      </c>
      <c r="AA161" s="146"/>
      <c r="AB161" s="146"/>
      <c r="AC161" s="146"/>
      <c r="AD161" s="146"/>
      <c r="AE161" s="146"/>
      <c r="AF161" s="146"/>
      <c r="AG161" s="146"/>
      <c r="AH161" s="724"/>
      <c r="AI161" s="860" t="str">
        <f t="shared" si="125"/>
        <v>Si</v>
      </c>
      <c r="AJ161" s="862">
        <f t="shared" si="126"/>
        <v>100000</v>
      </c>
    </row>
    <row r="162" spans="3:36" ht="28.8" x14ac:dyDescent="0.3">
      <c r="C162" s="407" t="s">
        <v>221</v>
      </c>
      <c r="D162" s="435" t="s">
        <v>225</v>
      </c>
      <c r="E162" s="405" t="s">
        <v>228</v>
      </c>
      <c r="F162" s="409">
        <v>19200</v>
      </c>
      <c r="G162" s="436">
        <v>46438</v>
      </c>
      <c r="H162" s="421">
        <v>46618</v>
      </c>
      <c r="K162" s="723"/>
      <c r="L162" s="146"/>
      <c r="M162" s="146"/>
      <c r="N162" s="146"/>
      <c r="O162" s="146"/>
      <c r="P162" s="146"/>
      <c r="Q162" s="146"/>
      <c r="R162" s="146"/>
      <c r="S162" s="146"/>
      <c r="T162" s="146"/>
      <c r="U162" s="146"/>
      <c r="V162" s="724"/>
      <c r="W162" s="849"/>
      <c r="X162" s="591">
        <v>3840</v>
      </c>
      <c r="Y162" s="591"/>
      <c r="Z162" s="591">
        <v>4000</v>
      </c>
      <c r="AA162" s="591"/>
      <c r="AB162" s="591">
        <v>7360</v>
      </c>
      <c r="AC162" s="591"/>
      <c r="AD162" s="591">
        <v>4000</v>
      </c>
      <c r="AE162" s="146"/>
      <c r="AF162" s="146"/>
      <c r="AG162" s="146"/>
      <c r="AH162" s="724"/>
      <c r="AI162" s="860" t="str">
        <f t="shared" si="125"/>
        <v>Si</v>
      </c>
      <c r="AJ162" s="862">
        <f t="shared" si="126"/>
        <v>19200</v>
      </c>
    </row>
    <row r="163" spans="3:36" ht="43.2" x14ac:dyDescent="0.3">
      <c r="C163" s="407" t="s">
        <v>221</v>
      </c>
      <c r="D163" s="435" t="s">
        <v>225</v>
      </c>
      <c r="E163" s="405" t="s">
        <v>229</v>
      </c>
      <c r="F163" s="409">
        <v>250000</v>
      </c>
      <c r="G163" s="436">
        <v>46171</v>
      </c>
      <c r="H163" s="421">
        <v>46351</v>
      </c>
      <c r="I163" s="585"/>
      <c r="K163" s="723"/>
      <c r="L163" s="146"/>
      <c r="M163" s="146"/>
      <c r="N163" s="146"/>
      <c r="O163" s="591">
        <v>35714.285714285717</v>
      </c>
      <c r="P163" s="591">
        <v>35714.285714285717</v>
      </c>
      <c r="Q163" s="591">
        <v>35714.285714285717</v>
      </c>
      <c r="R163" s="591">
        <v>35714.285714285717</v>
      </c>
      <c r="S163" s="591">
        <v>35714.285714285717</v>
      </c>
      <c r="T163" s="591">
        <v>35714.285714285717</v>
      </c>
      <c r="U163" s="591">
        <v>35714.285714285717</v>
      </c>
      <c r="V163" s="724"/>
      <c r="W163" s="849"/>
      <c r="X163" s="146"/>
      <c r="Y163" s="146"/>
      <c r="Z163" s="146"/>
      <c r="AA163" s="146"/>
      <c r="AB163" s="146"/>
      <c r="AC163" s="146"/>
      <c r="AD163" s="146"/>
      <c r="AE163" s="146"/>
      <c r="AF163" s="146"/>
      <c r="AG163" s="146"/>
      <c r="AH163" s="724"/>
      <c r="AI163" s="860" t="str">
        <f t="shared" si="125"/>
        <v>Si</v>
      </c>
      <c r="AJ163" s="862">
        <f t="shared" si="126"/>
        <v>250000</v>
      </c>
    </row>
    <row r="164" spans="3:36" ht="28.8" x14ac:dyDescent="0.3">
      <c r="C164" s="407" t="s">
        <v>221</v>
      </c>
      <c r="D164" s="435" t="s">
        <v>225</v>
      </c>
      <c r="E164" s="405" t="s">
        <v>227</v>
      </c>
      <c r="F164" s="409">
        <v>100000</v>
      </c>
      <c r="G164" s="436">
        <v>46119</v>
      </c>
      <c r="H164" s="421">
        <v>46482</v>
      </c>
      <c r="I164" s="585"/>
      <c r="K164" s="723"/>
      <c r="L164" s="146"/>
      <c r="M164" s="146"/>
      <c r="N164" s="591">
        <v>20000</v>
      </c>
      <c r="O164" s="591">
        <v>0</v>
      </c>
      <c r="P164" s="591">
        <v>0</v>
      </c>
      <c r="Q164" s="591">
        <v>0</v>
      </c>
      <c r="R164" s="591">
        <v>0</v>
      </c>
      <c r="S164" s="591">
        <v>0</v>
      </c>
      <c r="T164" s="591">
        <v>40000</v>
      </c>
      <c r="U164" s="591">
        <v>0</v>
      </c>
      <c r="V164" s="598">
        <v>0</v>
      </c>
      <c r="W164" s="850">
        <v>0</v>
      </c>
      <c r="X164" s="591">
        <v>0</v>
      </c>
      <c r="Y164" s="591">
        <v>0</v>
      </c>
      <c r="Z164" s="591">
        <v>40000</v>
      </c>
      <c r="AA164" s="146"/>
      <c r="AB164" s="146"/>
      <c r="AC164" s="146"/>
      <c r="AD164" s="146"/>
      <c r="AE164" s="146"/>
      <c r="AF164" s="146"/>
      <c r="AG164" s="146"/>
      <c r="AH164" s="724"/>
      <c r="AI164" s="860" t="str">
        <f t="shared" si="125"/>
        <v>Si</v>
      </c>
      <c r="AJ164" s="862">
        <f t="shared" si="126"/>
        <v>100000</v>
      </c>
    </row>
    <row r="165" spans="3:36" ht="28.8" x14ac:dyDescent="0.3">
      <c r="C165" s="407" t="s">
        <v>221</v>
      </c>
      <c r="D165" s="435" t="s">
        <v>223</v>
      </c>
      <c r="E165" s="405" t="s">
        <v>230</v>
      </c>
      <c r="F165" s="409">
        <v>25000</v>
      </c>
      <c r="G165" s="437">
        <v>46057</v>
      </c>
      <c r="H165" s="421">
        <v>46237</v>
      </c>
      <c r="I165" s="585"/>
      <c r="K165" s="723"/>
      <c r="L165" s="591">
        <v>3571.4285714285716</v>
      </c>
      <c r="M165" s="591">
        <v>3571.4285714285716</v>
      </c>
      <c r="N165" s="591">
        <v>3571.4285714285716</v>
      </c>
      <c r="O165" s="591">
        <v>3571.4285714285716</v>
      </c>
      <c r="P165" s="591">
        <v>3571.4285714285716</v>
      </c>
      <c r="Q165" s="591">
        <v>3571.4285714285716</v>
      </c>
      <c r="R165" s="591">
        <v>3571.4285714285716</v>
      </c>
      <c r="S165" s="146"/>
      <c r="T165" s="146"/>
      <c r="U165" s="146"/>
      <c r="V165" s="724"/>
      <c r="W165" s="849"/>
      <c r="X165" s="146"/>
      <c r="Y165" s="146"/>
      <c r="Z165" s="146"/>
      <c r="AA165" s="146"/>
      <c r="AB165" s="146"/>
      <c r="AC165" s="146"/>
      <c r="AD165" s="146"/>
      <c r="AE165" s="146"/>
      <c r="AF165" s="146"/>
      <c r="AG165" s="146"/>
      <c r="AH165" s="724"/>
      <c r="AI165" s="860" t="str">
        <f t="shared" si="125"/>
        <v>Si</v>
      </c>
      <c r="AJ165" s="862">
        <f t="shared" si="126"/>
        <v>25000.000000000004</v>
      </c>
    </row>
    <row r="166" spans="3:36" x14ac:dyDescent="0.3">
      <c r="C166" s="407" t="s">
        <v>221</v>
      </c>
      <c r="D166" s="435" t="s">
        <v>231</v>
      </c>
      <c r="E166" s="405" t="s">
        <v>191</v>
      </c>
      <c r="F166" s="409">
        <v>3500</v>
      </c>
      <c r="G166" s="437" t="s">
        <v>63</v>
      </c>
      <c r="H166" s="411" t="s">
        <v>63</v>
      </c>
      <c r="K166" s="723"/>
      <c r="L166" s="591">
        <v>233.33333333333334</v>
      </c>
      <c r="M166" s="591">
        <v>233.33333333333334</v>
      </c>
      <c r="N166" s="591">
        <v>233.33333333333334</v>
      </c>
      <c r="O166" s="591">
        <v>233.33333333333334</v>
      </c>
      <c r="P166" s="591">
        <v>233.33333333333334</v>
      </c>
      <c r="Q166" s="591">
        <v>233.33333333333334</v>
      </c>
      <c r="R166" s="591">
        <v>233.33333333333334</v>
      </c>
      <c r="S166" s="591">
        <v>233.33333333333334</v>
      </c>
      <c r="T166" s="591">
        <v>233.33333333333334</v>
      </c>
      <c r="U166" s="591">
        <v>233.33333333333334</v>
      </c>
      <c r="V166" s="598">
        <v>233.33333333333334</v>
      </c>
      <c r="W166" s="850">
        <v>233.33333333333334</v>
      </c>
      <c r="X166" s="591">
        <v>233.33333333333334</v>
      </c>
      <c r="Y166" s="591">
        <v>233.33333333333334</v>
      </c>
      <c r="Z166" s="591">
        <v>233.33333333333334</v>
      </c>
      <c r="AA166" s="710"/>
      <c r="AB166" s="710"/>
      <c r="AC166" s="710"/>
      <c r="AD166" s="710"/>
      <c r="AE166" s="710"/>
      <c r="AF166" s="710"/>
      <c r="AG166" s="710"/>
      <c r="AH166" s="712"/>
      <c r="AI166" s="860" t="str">
        <f t="shared" si="125"/>
        <v>Si</v>
      </c>
      <c r="AJ166" s="862">
        <f t="shared" si="126"/>
        <v>3500.0000000000009</v>
      </c>
    </row>
    <row r="167" spans="3:36" x14ac:dyDescent="0.3">
      <c r="C167" s="407" t="s">
        <v>221</v>
      </c>
      <c r="D167" s="435" t="s">
        <v>232</v>
      </c>
      <c r="E167" s="405" t="s">
        <v>193</v>
      </c>
      <c r="F167" s="409">
        <v>775.99</v>
      </c>
      <c r="G167" s="437" t="s">
        <v>63</v>
      </c>
      <c r="H167" s="411" t="s">
        <v>63</v>
      </c>
      <c r="K167" s="723"/>
      <c r="L167" s="591">
        <v>51.732666666666667</v>
      </c>
      <c r="M167" s="591">
        <v>51.732666666666667</v>
      </c>
      <c r="N167" s="591">
        <v>51.732666666666667</v>
      </c>
      <c r="O167" s="591">
        <v>51.732666666666667</v>
      </c>
      <c r="P167" s="591">
        <v>51.732666666666667</v>
      </c>
      <c r="Q167" s="591">
        <v>51.732666666666667</v>
      </c>
      <c r="R167" s="591">
        <v>51.732666666666667</v>
      </c>
      <c r="S167" s="591">
        <v>51.732666666666667</v>
      </c>
      <c r="T167" s="591">
        <v>51.732666666666667</v>
      </c>
      <c r="U167" s="591">
        <v>51.732666666666667</v>
      </c>
      <c r="V167" s="598">
        <v>51.732666666666667</v>
      </c>
      <c r="W167" s="850">
        <v>51.732666666666667</v>
      </c>
      <c r="X167" s="591">
        <v>51.732666666666667</v>
      </c>
      <c r="Y167" s="591">
        <v>51.732666666666667</v>
      </c>
      <c r="Z167" s="591">
        <v>51.732666666666667</v>
      </c>
      <c r="AA167" s="710"/>
      <c r="AB167" s="710"/>
      <c r="AC167" s="710"/>
      <c r="AD167" s="710"/>
      <c r="AE167" s="710"/>
      <c r="AF167" s="710"/>
      <c r="AG167" s="710"/>
      <c r="AH167" s="712"/>
      <c r="AI167" s="860" t="str">
        <f t="shared" si="125"/>
        <v>Si</v>
      </c>
      <c r="AJ167" s="862">
        <f t="shared" si="126"/>
        <v>775.99</v>
      </c>
    </row>
    <row r="168" spans="3:36" x14ac:dyDescent="0.3">
      <c r="C168" s="407" t="s">
        <v>221</v>
      </c>
      <c r="D168" s="435" t="s">
        <v>233</v>
      </c>
      <c r="E168" s="405" t="s">
        <v>187</v>
      </c>
      <c r="F168" s="409">
        <v>6000</v>
      </c>
      <c r="G168" s="437" t="s">
        <v>63</v>
      </c>
      <c r="H168" s="411" t="s">
        <v>63</v>
      </c>
      <c r="K168" s="723"/>
      <c r="L168" s="591">
        <v>400</v>
      </c>
      <c r="M168" s="591">
        <v>400</v>
      </c>
      <c r="N168" s="591">
        <v>400</v>
      </c>
      <c r="O168" s="591">
        <v>400</v>
      </c>
      <c r="P168" s="591">
        <v>400</v>
      </c>
      <c r="Q168" s="591">
        <v>400</v>
      </c>
      <c r="R168" s="591">
        <v>400</v>
      </c>
      <c r="S168" s="591">
        <v>400</v>
      </c>
      <c r="T168" s="591">
        <v>400</v>
      </c>
      <c r="U168" s="591">
        <v>400</v>
      </c>
      <c r="V168" s="598">
        <v>400</v>
      </c>
      <c r="W168" s="850">
        <v>400</v>
      </c>
      <c r="X168" s="591">
        <v>400</v>
      </c>
      <c r="Y168" s="591">
        <v>400</v>
      </c>
      <c r="Z168" s="591">
        <v>400</v>
      </c>
      <c r="AA168" s="710"/>
      <c r="AB168" s="710"/>
      <c r="AC168" s="710"/>
      <c r="AD168" s="710"/>
      <c r="AE168" s="710"/>
      <c r="AF168" s="710"/>
      <c r="AG168" s="710"/>
      <c r="AH168" s="712"/>
      <c r="AI168" s="860" t="str">
        <f t="shared" si="125"/>
        <v>Si</v>
      </c>
      <c r="AJ168" s="862">
        <f t="shared" si="126"/>
        <v>6000</v>
      </c>
    </row>
    <row r="169" spans="3:36" x14ac:dyDescent="0.3">
      <c r="C169" s="407" t="s">
        <v>221</v>
      </c>
      <c r="D169" s="435" t="s">
        <v>234</v>
      </c>
      <c r="E169" s="405" t="s">
        <v>111</v>
      </c>
      <c r="F169" s="409">
        <v>15000</v>
      </c>
      <c r="G169" s="437" t="s">
        <v>63</v>
      </c>
      <c r="H169" s="411" t="s">
        <v>63</v>
      </c>
      <c r="K169" s="723"/>
      <c r="L169" s="591">
        <v>1000</v>
      </c>
      <c r="M169" s="591">
        <v>1000</v>
      </c>
      <c r="N169" s="591">
        <v>1000</v>
      </c>
      <c r="O169" s="591">
        <v>1000</v>
      </c>
      <c r="P169" s="591">
        <v>1000</v>
      </c>
      <c r="Q169" s="591">
        <v>1000</v>
      </c>
      <c r="R169" s="591">
        <v>1000</v>
      </c>
      <c r="S169" s="591">
        <v>1000</v>
      </c>
      <c r="T169" s="591">
        <v>1000</v>
      </c>
      <c r="U169" s="591">
        <v>1000</v>
      </c>
      <c r="V169" s="598">
        <v>1000</v>
      </c>
      <c r="W169" s="850">
        <v>1000</v>
      </c>
      <c r="X169" s="591">
        <v>1000</v>
      </c>
      <c r="Y169" s="591">
        <v>1000</v>
      </c>
      <c r="Z169" s="591">
        <v>1000</v>
      </c>
      <c r="AA169" s="710"/>
      <c r="AB169" s="710"/>
      <c r="AC169" s="710"/>
      <c r="AD169" s="710"/>
      <c r="AE169" s="710"/>
      <c r="AF169" s="710"/>
      <c r="AG169" s="710"/>
      <c r="AH169" s="712"/>
      <c r="AI169" s="860" t="str">
        <f t="shared" si="125"/>
        <v>Si</v>
      </c>
      <c r="AJ169" s="862">
        <f t="shared" si="126"/>
        <v>15000</v>
      </c>
    </row>
    <row r="170" spans="3:36" x14ac:dyDescent="0.3">
      <c r="C170" s="407" t="s">
        <v>221</v>
      </c>
      <c r="D170" s="435" t="s">
        <v>235</v>
      </c>
      <c r="E170" s="405" t="s">
        <v>196</v>
      </c>
      <c r="F170" s="409">
        <v>50000</v>
      </c>
      <c r="G170" s="437" t="s">
        <v>63</v>
      </c>
      <c r="H170" s="411" t="s">
        <v>63</v>
      </c>
      <c r="K170" s="723"/>
      <c r="L170" s="591">
        <v>3333.3333333333335</v>
      </c>
      <c r="M170" s="591">
        <v>3333.3333333333335</v>
      </c>
      <c r="N170" s="591">
        <v>3333.3333333333335</v>
      </c>
      <c r="O170" s="591">
        <v>3333.3333333333335</v>
      </c>
      <c r="P170" s="591">
        <v>3333.3333333333335</v>
      </c>
      <c r="Q170" s="591">
        <v>3333.3333333333335</v>
      </c>
      <c r="R170" s="591">
        <v>3333.3333333333335</v>
      </c>
      <c r="S170" s="591">
        <v>3333.3333333333335</v>
      </c>
      <c r="T170" s="591">
        <v>3333.3333333333335</v>
      </c>
      <c r="U170" s="591">
        <v>3333.3333333333335</v>
      </c>
      <c r="V170" s="598">
        <v>3333.3333333333335</v>
      </c>
      <c r="W170" s="850">
        <v>3333.3333333333335</v>
      </c>
      <c r="X170" s="591">
        <v>3333.3333333333335</v>
      </c>
      <c r="Y170" s="591">
        <v>3333.3333333333335</v>
      </c>
      <c r="Z170" s="591">
        <v>3333.3333333333335</v>
      </c>
      <c r="AA170" s="710"/>
      <c r="AB170" s="710"/>
      <c r="AC170" s="710"/>
      <c r="AD170" s="710"/>
      <c r="AE170" s="710"/>
      <c r="AF170" s="710"/>
      <c r="AG170" s="710"/>
      <c r="AH170" s="712"/>
      <c r="AI170" s="860" t="str">
        <f t="shared" si="125"/>
        <v>Si</v>
      </c>
      <c r="AJ170" s="862">
        <f t="shared" si="126"/>
        <v>50000.000000000007</v>
      </c>
    </row>
    <row r="171" spans="3:36" ht="27" customHeight="1" thickBot="1" x14ac:dyDescent="0.35">
      <c r="C171" s="426" t="s">
        <v>221</v>
      </c>
      <c r="D171" s="429" t="s">
        <v>236</v>
      </c>
      <c r="E171" s="427" t="s">
        <v>237</v>
      </c>
      <c r="F171" s="433">
        <v>900</v>
      </c>
      <c r="G171" s="440" t="s">
        <v>63</v>
      </c>
      <c r="H171" s="412" t="s">
        <v>63</v>
      </c>
      <c r="K171" s="723"/>
      <c r="L171" s="591">
        <v>60</v>
      </c>
      <c r="M171" s="591">
        <v>60</v>
      </c>
      <c r="N171" s="591">
        <v>60</v>
      </c>
      <c r="O171" s="591">
        <v>60</v>
      </c>
      <c r="P171" s="591">
        <v>60</v>
      </c>
      <c r="Q171" s="591">
        <v>60</v>
      </c>
      <c r="R171" s="591">
        <v>60</v>
      </c>
      <c r="S171" s="591">
        <v>60</v>
      </c>
      <c r="T171" s="591">
        <v>60</v>
      </c>
      <c r="U171" s="591">
        <v>60</v>
      </c>
      <c r="V171" s="598">
        <v>60</v>
      </c>
      <c r="W171" s="850">
        <v>60</v>
      </c>
      <c r="X171" s="591">
        <v>60</v>
      </c>
      <c r="Y171" s="591">
        <v>60</v>
      </c>
      <c r="Z171" s="591">
        <v>60</v>
      </c>
      <c r="AA171" s="710"/>
      <c r="AB171" s="710"/>
      <c r="AC171" s="710"/>
      <c r="AD171" s="710"/>
      <c r="AE171" s="710"/>
      <c r="AF171" s="710"/>
      <c r="AG171" s="710"/>
      <c r="AH171" s="712"/>
      <c r="AI171" s="860" t="str">
        <f t="shared" si="125"/>
        <v>Si</v>
      </c>
      <c r="AJ171" s="862">
        <f t="shared" si="126"/>
        <v>900</v>
      </c>
    </row>
    <row r="172" spans="3:36" s="491" customFormat="1" ht="15" thickBot="1" x14ac:dyDescent="0.35">
      <c r="E172" s="462" t="s">
        <v>26</v>
      </c>
      <c r="F172" s="463">
        <f>SUM(F159:F171)</f>
        <v>715375.99</v>
      </c>
      <c r="H172" s="530"/>
      <c r="K172" s="739">
        <f>+SUM(K159:K171)</f>
        <v>0</v>
      </c>
      <c r="L172" s="738">
        <f t="shared" ref="L172:V172" si="127">+SUM(L159:L171)</f>
        <v>37649.827904761907</v>
      </c>
      <c r="M172" s="738">
        <f t="shared" si="127"/>
        <v>8649.8279047619053</v>
      </c>
      <c r="N172" s="738">
        <f t="shared" si="127"/>
        <v>45316.494571428579</v>
      </c>
      <c r="O172" s="738">
        <f t="shared" si="127"/>
        <v>61030.780285714289</v>
      </c>
      <c r="P172" s="738">
        <f t="shared" si="127"/>
        <v>61030.780285714289</v>
      </c>
      <c r="Q172" s="738">
        <f t="shared" si="127"/>
        <v>61030.780285714289</v>
      </c>
      <c r="R172" s="738">
        <f t="shared" si="127"/>
        <v>61030.780285714289</v>
      </c>
      <c r="S172" s="738">
        <f t="shared" si="127"/>
        <v>115459.35171428572</v>
      </c>
      <c r="T172" s="738">
        <f t="shared" si="127"/>
        <v>80792.68504761903</v>
      </c>
      <c r="U172" s="738">
        <f t="shared" si="127"/>
        <v>40792.685047619052</v>
      </c>
      <c r="V172" s="853">
        <f t="shared" si="127"/>
        <v>5078.3993333333337</v>
      </c>
      <c r="W172" s="739">
        <f>+SUM(W159:W171)</f>
        <v>5078.3993333333337</v>
      </c>
      <c r="X172" s="738">
        <f t="shared" ref="X172" si="128">+SUM(X159:X171)</f>
        <v>8918.3993333333328</v>
      </c>
      <c r="Y172" s="738">
        <f t="shared" ref="Y172" si="129">+SUM(Y159:Y171)</f>
        <v>23078.399333333331</v>
      </c>
      <c r="Z172" s="738">
        <f t="shared" ref="Z172" si="130">+SUM(Z159:Z171)</f>
        <v>89078.39933333332</v>
      </c>
      <c r="AA172" s="738">
        <f t="shared" ref="AA172" si="131">+SUM(AA159:AA171)</f>
        <v>0</v>
      </c>
      <c r="AB172" s="738">
        <f t="shared" ref="AB172" si="132">+SUM(AB159:AB171)</f>
        <v>7360</v>
      </c>
      <c r="AC172" s="738">
        <f t="shared" ref="AC172" si="133">+SUM(AC159:AC171)</f>
        <v>0</v>
      </c>
      <c r="AD172" s="738">
        <f t="shared" ref="AD172" si="134">+SUM(AD159:AD171)</f>
        <v>4000</v>
      </c>
      <c r="AE172" s="738">
        <f t="shared" ref="AE172" si="135">+SUM(AE159:AE171)</f>
        <v>0</v>
      </c>
      <c r="AF172" s="738">
        <f t="shared" ref="AF172" si="136">+SUM(AF159:AF171)</f>
        <v>0</v>
      </c>
      <c r="AG172" s="738">
        <f t="shared" ref="AG172" si="137">+SUM(AG159:AG171)</f>
        <v>0</v>
      </c>
      <c r="AH172" s="853">
        <f t="shared" ref="AH172" si="138">+SUM(AH159:AH171)</f>
        <v>0</v>
      </c>
      <c r="AI172" s="861"/>
    </row>
    <row r="173" spans="3:36" s="491" customFormat="1" ht="15" thickBot="1" x14ac:dyDescent="0.35">
      <c r="E173" s="857"/>
      <c r="F173" s="858"/>
      <c r="H173" s="530"/>
      <c r="K173" s="971">
        <f>+SUM(K172:V172)</f>
        <v>577862.39266666677</v>
      </c>
      <c r="L173" s="972"/>
      <c r="M173" s="972"/>
      <c r="N173" s="972"/>
      <c r="O173" s="972"/>
      <c r="P173" s="972"/>
      <c r="Q173" s="972"/>
      <c r="R173" s="972"/>
      <c r="S173" s="972"/>
      <c r="T173" s="972"/>
      <c r="U173" s="972"/>
      <c r="V173" s="973"/>
      <c r="W173" s="971">
        <f>+SUM(W172:AH172)</f>
        <v>137513.59733333331</v>
      </c>
      <c r="X173" s="972"/>
      <c r="Y173" s="972"/>
      <c r="Z173" s="972"/>
      <c r="AA173" s="972"/>
      <c r="AB173" s="972"/>
      <c r="AC173" s="972"/>
      <c r="AD173" s="972"/>
      <c r="AE173" s="972"/>
      <c r="AF173" s="972"/>
      <c r="AG173" s="972"/>
      <c r="AH173" s="973"/>
      <c r="AI173" s="860" t="str">
        <f>IF(SUM(K173:AH173)=F172,"Si","No")</f>
        <v>Si</v>
      </c>
      <c r="AJ173" s="864">
        <f>+SUM(K173:AH173)</f>
        <v>715375.99000000011</v>
      </c>
    </row>
    <row r="174" spans="3:36" s="491" customFormat="1" x14ac:dyDescent="0.3">
      <c r="C174" s="958" t="s">
        <v>0</v>
      </c>
      <c r="D174" s="959"/>
      <c r="E174" s="417" t="s">
        <v>1</v>
      </c>
      <c r="F174" s="417" t="s">
        <v>2</v>
      </c>
      <c r="G174" s="418" t="s">
        <v>3</v>
      </c>
      <c r="H174" s="21"/>
      <c r="K174" s="946"/>
      <c r="L174" s="947"/>
      <c r="M174" s="947"/>
      <c r="N174" s="947"/>
      <c r="O174" s="947"/>
      <c r="P174" s="947"/>
      <c r="Q174" s="947"/>
      <c r="R174" s="947"/>
      <c r="S174" s="947"/>
      <c r="T174" s="947"/>
      <c r="U174" s="947"/>
      <c r="V174" s="948"/>
      <c r="W174" s="946"/>
      <c r="X174" s="947"/>
      <c r="Y174" s="947"/>
      <c r="Z174" s="947"/>
      <c r="AA174" s="947"/>
      <c r="AB174" s="947"/>
      <c r="AC174" s="947"/>
      <c r="AD174" s="947"/>
      <c r="AE174" s="947"/>
      <c r="AF174" s="947"/>
      <c r="AG174" s="947"/>
      <c r="AH174" s="948"/>
      <c r="AI174" s="861"/>
    </row>
    <row r="175" spans="3:36" s="491" customFormat="1" ht="29.4" thickBot="1" x14ac:dyDescent="0.35">
      <c r="C175" s="956" t="s">
        <v>238</v>
      </c>
      <c r="D175" s="957"/>
      <c r="E175" s="430" t="s">
        <v>239</v>
      </c>
      <c r="F175" s="431">
        <v>45839</v>
      </c>
      <c r="G175" s="432">
        <v>46752</v>
      </c>
      <c r="H175" s="21"/>
      <c r="K175" s="949"/>
      <c r="L175" s="950"/>
      <c r="M175" s="950"/>
      <c r="N175" s="950"/>
      <c r="O175" s="950"/>
      <c r="P175" s="950"/>
      <c r="Q175" s="950"/>
      <c r="R175" s="950"/>
      <c r="S175" s="950"/>
      <c r="T175" s="950"/>
      <c r="U175" s="950"/>
      <c r="V175" s="951"/>
      <c r="W175" s="949"/>
      <c r="X175" s="950"/>
      <c r="Y175" s="950"/>
      <c r="Z175" s="950"/>
      <c r="AA175" s="950"/>
      <c r="AB175" s="950"/>
      <c r="AC175" s="950"/>
      <c r="AD175" s="950"/>
      <c r="AE175" s="950"/>
      <c r="AF175" s="950"/>
      <c r="AG175" s="950"/>
      <c r="AH175" s="951"/>
      <c r="AI175" s="861"/>
    </row>
    <row r="176" spans="3:36" s="491" customFormat="1" x14ac:dyDescent="0.3">
      <c r="C176" s="416" t="s">
        <v>0</v>
      </c>
      <c r="D176" s="417" t="s">
        <v>6</v>
      </c>
      <c r="E176" s="417" t="s">
        <v>7</v>
      </c>
      <c r="F176" s="417" t="s">
        <v>8</v>
      </c>
      <c r="G176" s="417" t="s">
        <v>9</v>
      </c>
      <c r="H176" s="418" t="s">
        <v>10</v>
      </c>
      <c r="K176" s="946"/>
      <c r="L176" s="947"/>
      <c r="M176" s="947"/>
      <c r="N176" s="947"/>
      <c r="O176" s="947"/>
      <c r="P176" s="947"/>
      <c r="Q176" s="947"/>
      <c r="R176" s="947"/>
      <c r="S176" s="947"/>
      <c r="T176" s="947"/>
      <c r="U176" s="947"/>
      <c r="V176" s="948"/>
      <c r="W176" s="946"/>
      <c r="X176" s="947"/>
      <c r="Y176" s="947"/>
      <c r="Z176" s="947"/>
      <c r="AA176" s="947"/>
      <c r="AB176" s="947"/>
      <c r="AC176" s="947"/>
      <c r="AD176" s="947"/>
      <c r="AE176" s="947"/>
      <c r="AF176" s="947"/>
      <c r="AG176" s="947"/>
      <c r="AH176" s="948"/>
      <c r="AI176" s="861"/>
    </row>
    <row r="177" spans="3:36" s="491" customFormat="1" ht="43.2" x14ac:dyDescent="0.3">
      <c r="C177" s="407" t="s">
        <v>240</v>
      </c>
      <c r="D177" s="435" t="s">
        <v>241</v>
      </c>
      <c r="E177" s="405" t="s">
        <v>242</v>
      </c>
      <c r="F177" s="409">
        <v>50000</v>
      </c>
      <c r="G177" s="436">
        <v>46113</v>
      </c>
      <c r="H177" s="421">
        <v>46326</v>
      </c>
      <c r="I177" s="573"/>
      <c r="K177" s="725"/>
      <c r="L177" s="718"/>
      <c r="M177" s="718"/>
      <c r="N177" s="591">
        <v>7142.8571428571431</v>
      </c>
      <c r="O177" s="591">
        <v>7142.8571428571431</v>
      </c>
      <c r="P177" s="591">
        <v>7142.8571428571431</v>
      </c>
      <c r="Q177" s="591">
        <v>7142.8571428571431</v>
      </c>
      <c r="R177" s="591">
        <v>7142.8571428571431</v>
      </c>
      <c r="S177" s="591">
        <v>7142.8571428571431</v>
      </c>
      <c r="T177" s="591">
        <v>7142.8571428571431</v>
      </c>
      <c r="U177" s="718"/>
      <c r="V177" s="726"/>
      <c r="W177" s="851"/>
      <c r="X177" s="718"/>
      <c r="Y177" s="718"/>
      <c r="Z177" s="718"/>
      <c r="AA177" s="718"/>
      <c r="AB177" s="718"/>
      <c r="AC177" s="718"/>
      <c r="AD177" s="718"/>
      <c r="AE177" s="718"/>
      <c r="AF177" s="718"/>
      <c r="AG177" s="718"/>
      <c r="AH177" s="726"/>
      <c r="AI177" s="860" t="str">
        <f t="shared" ref="AI177:AI199" si="139">IF(SUM(K177:AH177)=F177,"Si","No")</f>
        <v>Si</v>
      </c>
      <c r="AJ177" s="862">
        <f t="shared" ref="AJ177:AJ199" si="140">+SUM(K177:AH177)</f>
        <v>50000.000000000007</v>
      </c>
    </row>
    <row r="178" spans="3:36" s="491" customFormat="1" ht="28.8" x14ac:dyDescent="0.3">
      <c r="C178" s="407" t="s">
        <v>240</v>
      </c>
      <c r="D178" s="435" t="s">
        <v>241</v>
      </c>
      <c r="E178" s="405" t="s">
        <v>243</v>
      </c>
      <c r="F178" s="409">
        <v>100000</v>
      </c>
      <c r="G178" s="436">
        <v>46235</v>
      </c>
      <c r="H178" s="421">
        <v>46599</v>
      </c>
      <c r="I178" s="573"/>
      <c r="K178" s="725"/>
      <c r="L178" s="718"/>
      <c r="M178" s="718"/>
      <c r="N178" s="718"/>
      <c r="O178" s="718"/>
      <c r="P178" s="718"/>
      <c r="Q178" s="718"/>
      <c r="R178" s="591">
        <v>20000</v>
      </c>
      <c r="S178" s="591">
        <v>0</v>
      </c>
      <c r="T178" s="591">
        <v>0</v>
      </c>
      <c r="U178" s="591">
        <v>0</v>
      </c>
      <c r="V178" s="598">
        <v>0</v>
      </c>
      <c r="W178" s="850">
        <v>40000</v>
      </c>
      <c r="X178" s="591">
        <v>0</v>
      </c>
      <c r="Y178" s="591">
        <v>0</v>
      </c>
      <c r="Z178" s="591">
        <v>0</v>
      </c>
      <c r="AA178" s="591">
        <v>20000</v>
      </c>
      <c r="AB178" s="591">
        <v>0</v>
      </c>
      <c r="AC178" s="591">
        <v>20000</v>
      </c>
      <c r="AD178" s="718"/>
      <c r="AE178" s="718"/>
      <c r="AF178" s="718"/>
      <c r="AG178" s="718"/>
      <c r="AH178" s="726"/>
      <c r="AI178" s="860" t="str">
        <f t="shared" si="139"/>
        <v>Si</v>
      </c>
      <c r="AJ178" s="862">
        <f t="shared" si="140"/>
        <v>100000</v>
      </c>
    </row>
    <row r="179" spans="3:36" s="491" customFormat="1" x14ac:dyDescent="0.3">
      <c r="C179" s="407" t="s">
        <v>240</v>
      </c>
      <c r="D179" s="435" t="s">
        <v>241</v>
      </c>
      <c r="E179" s="405" t="s">
        <v>251</v>
      </c>
      <c r="F179" s="409">
        <v>100000</v>
      </c>
      <c r="G179" s="437">
        <v>45839</v>
      </c>
      <c r="H179" s="421">
        <v>46752</v>
      </c>
      <c r="I179" s="573"/>
      <c r="K179" s="597">
        <v>4166.666666666667</v>
      </c>
      <c r="L179" s="591">
        <v>4166.666666666667</v>
      </c>
      <c r="M179" s="591">
        <v>4166.666666666667</v>
      </c>
      <c r="N179" s="591">
        <v>4166.666666666667</v>
      </c>
      <c r="O179" s="591">
        <v>4166.666666666667</v>
      </c>
      <c r="P179" s="591">
        <v>4166.666666666667</v>
      </c>
      <c r="Q179" s="591">
        <v>4166.666666666667</v>
      </c>
      <c r="R179" s="591">
        <v>4166.666666666667</v>
      </c>
      <c r="S179" s="591">
        <v>4166.666666666667</v>
      </c>
      <c r="T179" s="591">
        <v>4166.666666666667</v>
      </c>
      <c r="U179" s="591">
        <v>4166.666666666667</v>
      </c>
      <c r="V179" s="598">
        <v>4166.666666666667</v>
      </c>
      <c r="W179" s="850">
        <v>4166.666666666667</v>
      </c>
      <c r="X179" s="591">
        <v>4166.666666666667</v>
      </c>
      <c r="Y179" s="591">
        <v>4166.666666666667</v>
      </c>
      <c r="Z179" s="591">
        <v>4166.666666666667</v>
      </c>
      <c r="AA179" s="591">
        <v>4166.666666666667</v>
      </c>
      <c r="AB179" s="591">
        <v>4166.666666666667</v>
      </c>
      <c r="AC179" s="591">
        <v>4166.666666666667</v>
      </c>
      <c r="AD179" s="591">
        <v>4166.666666666667</v>
      </c>
      <c r="AE179" s="591">
        <v>4166.666666666667</v>
      </c>
      <c r="AF179" s="591">
        <v>4166.666666666667</v>
      </c>
      <c r="AG179" s="591">
        <v>4166.666666666667</v>
      </c>
      <c r="AH179" s="591">
        <v>4166.666666666667</v>
      </c>
      <c r="AI179" s="860" t="str">
        <f t="shared" si="139"/>
        <v>Si</v>
      </c>
      <c r="AJ179" s="862">
        <f t="shared" si="140"/>
        <v>100000.00000000003</v>
      </c>
    </row>
    <row r="180" spans="3:36" s="491" customFormat="1" ht="43.2" x14ac:dyDescent="0.3">
      <c r="C180" s="536" t="s">
        <v>814</v>
      </c>
      <c r="D180" s="582"/>
      <c r="E180" s="405" t="s">
        <v>268</v>
      </c>
      <c r="F180" s="409">
        <v>100000</v>
      </c>
      <c r="G180" s="531">
        <v>46023</v>
      </c>
      <c r="H180" s="532">
        <v>46752</v>
      </c>
      <c r="I180" s="573"/>
      <c r="K180" s="597">
        <v>2083.3333333333348</v>
      </c>
      <c r="L180" s="591">
        <v>2083.3333333333348</v>
      </c>
      <c r="M180" s="591">
        <v>2083.3333333333348</v>
      </c>
      <c r="N180" s="591">
        <v>2083.3333333333348</v>
      </c>
      <c r="O180" s="591">
        <v>2083.3333333333348</v>
      </c>
      <c r="P180" s="591">
        <v>2083.3333333333348</v>
      </c>
      <c r="Q180" s="591">
        <v>2083.3333333333348</v>
      </c>
      <c r="R180" s="591">
        <v>2083.3333333333348</v>
      </c>
      <c r="S180" s="591">
        <v>2083.3333333333348</v>
      </c>
      <c r="T180" s="591">
        <v>2083.3333333333348</v>
      </c>
      <c r="U180" s="591">
        <v>2083.3333333333348</v>
      </c>
      <c r="V180" s="598">
        <v>2083.3333333333348</v>
      </c>
      <c r="W180" s="850">
        <v>6250</v>
      </c>
      <c r="X180" s="591">
        <v>6250</v>
      </c>
      <c r="Y180" s="591">
        <v>6250</v>
      </c>
      <c r="Z180" s="591">
        <v>6250</v>
      </c>
      <c r="AA180" s="591">
        <v>6250</v>
      </c>
      <c r="AB180" s="591">
        <v>6250</v>
      </c>
      <c r="AC180" s="591">
        <v>6250</v>
      </c>
      <c r="AD180" s="591">
        <v>6250</v>
      </c>
      <c r="AE180" s="591">
        <v>6250</v>
      </c>
      <c r="AF180" s="591">
        <v>6250</v>
      </c>
      <c r="AG180" s="591">
        <v>6250</v>
      </c>
      <c r="AH180" s="598">
        <v>6250</v>
      </c>
      <c r="AI180" s="860" t="str">
        <f t="shared" si="139"/>
        <v>Si</v>
      </c>
      <c r="AJ180" s="862">
        <f t="shared" si="140"/>
        <v>100000.00000000003</v>
      </c>
    </row>
    <row r="181" spans="3:36" s="491" customFormat="1" ht="43.2" x14ac:dyDescent="0.3">
      <c r="C181" s="536" t="s">
        <v>814</v>
      </c>
      <c r="D181" s="582" t="s">
        <v>269</v>
      </c>
      <c r="E181" s="405" t="s">
        <v>270</v>
      </c>
      <c r="F181" s="409">
        <v>100000</v>
      </c>
      <c r="G181" s="531">
        <v>46023</v>
      </c>
      <c r="H181" s="532">
        <v>46752</v>
      </c>
      <c r="I181" s="573"/>
      <c r="K181" s="597">
        <v>2083.3333333333348</v>
      </c>
      <c r="L181" s="591">
        <v>2083.3333333333348</v>
      </c>
      <c r="M181" s="591">
        <v>2083.3333333333348</v>
      </c>
      <c r="N181" s="591">
        <v>2083.3333333333348</v>
      </c>
      <c r="O181" s="591">
        <v>2083.3333333333348</v>
      </c>
      <c r="P181" s="591">
        <v>2083.3333333333348</v>
      </c>
      <c r="Q181" s="591">
        <v>2083.3333333333348</v>
      </c>
      <c r="R181" s="591">
        <v>2083.3333333333348</v>
      </c>
      <c r="S181" s="591">
        <v>2083.3333333333348</v>
      </c>
      <c r="T181" s="591">
        <v>2083.3333333333348</v>
      </c>
      <c r="U181" s="591">
        <v>2083.3333333333348</v>
      </c>
      <c r="V181" s="598">
        <v>2083.3333333333348</v>
      </c>
      <c r="W181" s="850">
        <v>6250</v>
      </c>
      <c r="X181" s="591">
        <v>6250</v>
      </c>
      <c r="Y181" s="591">
        <v>6250</v>
      </c>
      <c r="Z181" s="591">
        <v>6250</v>
      </c>
      <c r="AA181" s="591">
        <v>6250</v>
      </c>
      <c r="AB181" s="591">
        <v>6250</v>
      </c>
      <c r="AC181" s="591">
        <v>6250</v>
      </c>
      <c r="AD181" s="591">
        <v>6250</v>
      </c>
      <c r="AE181" s="591">
        <v>6250</v>
      </c>
      <c r="AF181" s="591">
        <v>6250</v>
      </c>
      <c r="AG181" s="591">
        <v>6250</v>
      </c>
      <c r="AH181" s="598">
        <v>6250</v>
      </c>
      <c r="AI181" s="860" t="str">
        <f t="shared" si="139"/>
        <v>Si</v>
      </c>
      <c r="AJ181" s="862">
        <f t="shared" si="140"/>
        <v>100000.00000000003</v>
      </c>
    </row>
    <row r="182" spans="3:36" s="491" customFormat="1" ht="28.8" x14ac:dyDescent="0.3">
      <c r="C182" s="536" t="s">
        <v>814</v>
      </c>
      <c r="D182" s="582" t="s">
        <v>269</v>
      </c>
      <c r="E182" s="405" t="s">
        <v>271</v>
      </c>
      <c r="F182" s="409">
        <v>50000</v>
      </c>
      <c r="G182" s="531">
        <v>46204</v>
      </c>
      <c r="H182" s="532">
        <v>46599</v>
      </c>
      <c r="I182" s="573"/>
      <c r="K182" s="725"/>
      <c r="L182" s="718"/>
      <c r="M182" s="718"/>
      <c r="N182" s="718"/>
      <c r="O182" s="718"/>
      <c r="P182" s="718"/>
      <c r="Q182" s="591">
        <v>0</v>
      </c>
      <c r="R182" s="591">
        <v>10000</v>
      </c>
      <c r="S182" s="591">
        <v>0</v>
      </c>
      <c r="T182" s="591">
        <v>0</v>
      </c>
      <c r="U182" s="591">
        <v>0</v>
      </c>
      <c r="V182" s="598">
        <v>20000</v>
      </c>
      <c r="W182" s="850">
        <v>0</v>
      </c>
      <c r="X182" s="591">
        <v>0</v>
      </c>
      <c r="Y182" s="591">
        <v>0</v>
      </c>
      <c r="Z182" s="591">
        <v>10000</v>
      </c>
      <c r="AA182" s="591">
        <v>0</v>
      </c>
      <c r="AB182" s="591">
        <v>0</v>
      </c>
      <c r="AC182" s="591">
        <v>10000</v>
      </c>
      <c r="AD182" s="718"/>
      <c r="AE182" s="718"/>
      <c r="AF182" s="718"/>
      <c r="AG182" s="718"/>
      <c r="AH182" s="726"/>
      <c r="AI182" s="860" t="str">
        <f t="shared" si="139"/>
        <v>Si</v>
      </c>
      <c r="AJ182" s="862">
        <f t="shared" si="140"/>
        <v>50000</v>
      </c>
    </row>
    <row r="183" spans="3:36" s="491" customFormat="1" ht="57.6" x14ac:dyDescent="0.3">
      <c r="C183" s="407" t="s">
        <v>1387</v>
      </c>
      <c r="D183" s="435" t="s">
        <v>241</v>
      </c>
      <c r="E183" s="405" t="s">
        <v>244</v>
      </c>
      <c r="F183" s="409">
        <v>50000</v>
      </c>
      <c r="G183" s="436">
        <v>46235</v>
      </c>
      <c r="H183" s="421">
        <v>46599</v>
      </c>
      <c r="I183" s="573"/>
      <c r="K183" s="725"/>
      <c r="L183" s="718"/>
      <c r="M183" s="718"/>
      <c r="N183" s="718"/>
      <c r="O183" s="718"/>
      <c r="P183" s="718"/>
      <c r="Q183" s="718"/>
      <c r="R183" s="591">
        <v>10000</v>
      </c>
      <c r="S183" s="591">
        <v>0</v>
      </c>
      <c r="T183" s="591">
        <v>0</v>
      </c>
      <c r="U183" s="591">
        <v>0</v>
      </c>
      <c r="V183" s="598">
        <v>0</v>
      </c>
      <c r="W183" s="850">
        <v>20000</v>
      </c>
      <c r="X183" s="591">
        <v>0</v>
      </c>
      <c r="Y183" s="591">
        <v>0</v>
      </c>
      <c r="Z183" s="591">
        <v>0</v>
      </c>
      <c r="AA183" s="591">
        <v>10000</v>
      </c>
      <c r="AB183" s="591">
        <v>0</v>
      </c>
      <c r="AC183" s="591">
        <v>10000</v>
      </c>
      <c r="AD183" s="718"/>
      <c r="AE183" s="718"/>
      <c r="AF183" s="718"/>
      <c r="AG183" s="718"/>
      <c r="AH183" s="726"/>
      <c r="AI183" s="860" t="str">
        <f t="shared" si="139"/>
        <v>Si</v>
      </c>
      <c r="AJ183" s="862">
        <f t="shared" si="140"/>
        <v>50000</v>
      </c>
    </row>
    <row r="184" spans="3:36" s="491" customFormat="1" ht="28.8" x14ac:dyDescent="0.3">
      <c r="C184" s="407" t="s">
        <v>1387</v>
      </c>
      <c r="D184" s="435" t="s">
        <v>241</v>
      </c>
      <c r="E184" s="405" t="s">
        <v>245</v>
      </c>
      <c r="F184" s="409">
        <v>50000</v>
      </c>
      <c r="G184" s="436">
        <v>46113</v>
      </c>
      <c r="H184" s="421">
        <v>46326</v>
      </c>
      <c r="I184" s="573"/>
      <c r="K184" s="725"/>
      <c r="L184" s="718"/>
      <c r="M184" s="718"/>
      <c r="N184" s="591">
        <v>7142.8571428571431</v>
      </c>
      <c r="O184" s="591">
        <v>7142.8571428571431</v>
      </c>
      <c r="P184" s="591">
        <v>7142.8571428571431</v>
      </c>
      <c r="Q184" s="591">
        <v>7142.8571428571431</v>
      </c>
      <c r="R184" s="591">
        <v>7142.8571428571431</v>
      </c>
      <c r="S184" s="591">
        <v>7142.8571428571431</v>
      </c>
      <c r="T184" s="591">
        <v>7142.8571428571431</v>
      </c>
      <c r="U184" s="718"/>
      <c r="V184" s="726"/>
      <c r="W184" s="851"/>
      <c r="X184" s="718"/>
      <c r="Y184" s="718"/>
      <c r="Z184" s="718"/>
      <c r="AA184" s="718"/>
      <c r="AB184" s="718"/>
      <c r="AC184" s="718"/>
      <c r="AD184" s="718"/>
      <c r="AE184" s="718"/>
      <c r="AF184" s="718"/>
      <c r="AG184" s="718"/>
      <c r="AH184" s="726"/>
      <c r="AI184" s="860" t="str">
        <f t="shared" si="139"/>
        <v>Si</v>
      </c>
      <c r="AJ184" s="862">
        <f t="shared" si="140"/>
        <v>50000.000000000007</v>
      </c>
    </row>
    <row r="185" spans="3:36" s="491" customFormat="1" ht="28.8" x14ac:dyDescent="0.3">
      <c r="C185" s="407" t="s">
        <v>1387</v>
      </c>
      <c r="D185" s="435" t="s">
        <v>246</v>
      </c>
      <c r="E185" s="405" t="s">
        <v>247</v>
      </c>
      <c r="F185" s="409">
        <v>50000</v>
      </c>
      <c r="G185" s="436">
        <v>46235</v>
      </c>
      <c r="H185" s="421">
        <v>46599</v>
      </c>
      <c r="I185" s="573"/>
      <c r="K185" s="725"/>
      <c r="L185" s="718"/>
      <c r="M185" s="718"/>
      <c r="N185" s="718"/>
      <c r="O185" s="718"/>
      <c r="P185" s="718"/>
      <c r="Q185" s="718"/>
      <c r="R185" s="591">
        <v>10000</v>
      </c>
      <c r="S185" s="591">
        <v>0</v>
      </c>
      <c r="T185" s="591">
        <v>0</v>
      </c>
      <c r="U185" s="591">
        <v>0</v>
      </c>
      <c r="V185" s="598">
        <v>0</v>
      </c>
      <c r="W185" s="850">
        <v>20000</v>
      </c>
      <c r="X185" s="591">
        <v>0</v>
      </c>
      <c r="Y185" s="591">
        <v>0</v>
      </c>
      <c r="Z185" s="591">
        <v>0</v>
      </c>
      <c r="AA185" s="591">
        <v>10000</v>
      </c>
      <c r="AB185" s="591">
        <v>0</v>
      </c>
      <c r="AC185" s="591">
        <v>10000</v>
      </c>
      <c r="AD185" s="718"/>
      <c r="AE185" s="718"/>
      <c r="AF185" s="718"/>
      <c r="AG185" s="718"/>
      <c r="AH185" s="726"/>
      <c r="AI185" s="860" t="str">
        <f t="shared" si="139"/>
        <v>Si</v>
      </c>
      <c r="AJ185" s="862">
        <f t="shared" si="140"/>
        <v>50000</v>
      </c>
    </row>
    <row r="186" spans="3:36" s="491" customFormat="1" ht="43.2" x14ac:dyDescent="0.3">
      <c r="C186" s="407" t="s">
        <v>1387</v>
      </c>
      <c r="D186" s="435" t="s">
        <v>248</v>
      </c>
      <c r="E186" s="405" t="s">
        <v>249</v>
      </c>
      <c r="F186" s="409">
        <v>50000</v>
      </c>
      <c r="G186" s="436">
        <v>46235</v>
      </c>
      <c r="H186" s="421">
        <v>46599</v>
      </c>
      <c r="I186" s="573"/>
      <c r="K186" s="725"/>
      <c r="L186" s="718"/>
      <c r="M186" s="718"/>
      <c r="N186" s="718"/>
      <c r="O186" s="718"/>
      <c r="P186" s="718"/>
      <c r="Q186" s="718"/>
      <c r="R186" s="591">
        <v>10000</v>
      </c>
      <c r="S186" s="591">
        <v>0</v>
      </c>
      <c r="T186" s="591">
        <v>0</v>
      </c>
      <c r="U186" s="591">
        <v>0</v>
      </c>
      <c r="V186" s="598">
        <v>0</v>
      </c>
      <c r="W186" s="850">
        <v>20000</v>
      </c>
      <c r="X186" s="591">
        <v>0</v>
      </c>
      <c r="Y186" s="591">
        <v>0</v>
      </c>
      <c r="Z186" s="591">
        <v>0</v>
      </c>
      <c r="AA186" s="591">
        <v>10000</v>
      </c>
      <c r="AB186" s="591">
        <v>0</v>
      </c>
      <c r="AC186" s="591">
        <v>10000</v>
      </c>
      <c r="AD186" s="718"/>
      <c r="AE186" s="718"/>
      <c r="AF186" s="718"/>
      <c r="AG186" s="718"/>
      <c r="AH186" s="726"/>
      <c r="AI186" s="860" t="str">
        <f t="shared" si="139"/>
        <v>Si</v>
      </c>
      <c r="AJ186" s="862">
        <f t="shared" si="140"/>
        <v>50000</v>
      </c>
    </row>
    <row r="187" spans="3:36" s="491" customFormat="1" ht="28.8" x14ac:dyDescent="0.3">
      <c r="C187" s="407" t="s">
        <v>1387</v>
      </c>
      <c r="D187" s="435" t="s">
        <v>248</v>
      </c>
      <c r="E187" s="405" t="s">
        <v>250</v>
      </c>
      <c r="F187" s="409">
        <v>50000</v>
      </c>
      <c r="G187" s="437">
        <v>46204</v>
      </c>
      <c r="H187" s="421">
        <v>46387</v>
      </c>
      <c r="I187" s="573"/>
      <c r="K187" s="725"/>
      <c r="L187" s="718"/>
      <c r="M187" s="718"/>
      <c r="N187" s="718"/>
      <c r="O187" s="718"/>
      <c r="P187" s="718"/>
      <c r="Q187" s="591">
        <v>8333.3333333333339</v>
      </c>
      <c r="R187" s="591">
        <v>8333.3333333333339</v>
      </c>
      <c r="S187" s="591">
        <v>8333.3333333333339</v>
      </c>
      <c r="T187" s="591">
        <v>8333.3333333333339</v>
      </c>
      <c r="U187" s="591">
        <v>8333.3333333333339</v>
      </c>
      <c r="V187" s="598">
        <v>8333.3333333333339</v>
      </c>
      <c r="W187" s="851"/>
      <c r="X187" s="718"/>
      <c r="Y187" s="718"/>
      <c r="Z187" s="718"/>
      <c r="AA187" s="718"/>
      <c r="AB187" s="718"/>
      <c r="AC187" s="718"/>
      <c r="AD187" s="718"/>
      <c r="AE187" s="718"/>
      <c r="AF187" s="718"/>
      <c r="AG187" s="718"/>
      <c r="AH187" s="726"/>
      <c r="AI187" s="860" t="str">
        <f t="shared" si="139"/>
        <v>Si</v>
      </c>
      <c r="AJ187" s="862">
        <f t="shared" si="140"/>
        <v>50000.000000000007</v>
      </c>
    </row>
    <row r="188" spans="3:36" s="491" customFormat="1" ht="28.8" x14ac:dyDescent="0.3">
      <c r="C188" s="407" t="s">
        <v>1387</v>
      </c>
      <c r="D188" s="435" t="s">
        <v>252</v>
      </c>
      <c r="E188" s="405" t="s">
        <v>253</v>
      </c>
      <c r="F188" s="409">
        <v>150000</v>
      </c>
      <c r="G188" s="437">
        <v>46235</v>
      </c>
      <c r="H188" s="421" t="s">
        <v>254</v>
      </c>
      <c r="I188" s="573"/>
      <c r="K188" s="725"/>
      <c r="L188" s="718"/>
      <c r="M188" s="718"/>
      <c r="N188" s="718"/>
      <c r="O188" s="718"/>
      <c r="P188" s="718"/>
      <c r="Q188" s="718"/>
      <c r="R188" s="591">
        <v>35000</v>
      </c>
      <c r="S188" s="591">
        <v>0</v>
      </c>
      <c r="T188" s="591">
        <v>0</v>
      </c>
      <c r="U188" s="591">
        <v>0</v>
      </c>
      <c r="V188" s="598">
        <v>0</v>
      </c>
      <c r="W188" s="850">
        <v>25000</v>
      </c>
      <c r="X188" s="591">
        <v>0</v>
      </c>
      <c r="Y188" s="591">
        <v>0</v>
      </c>
      <c r="Z188" s="591">
        <v>0</v>
      </c>
      <c r="AA188" s="591">
        <v>45000</v>
      </c>
      <c r="AB188" s="591">
        <v>0</v>
      </c>
      <c r="AC188" s="591">
        <v>45000</v>
      </c>
      <c r="AD188" s="718"/>
      <c r="AE188" s="718"/>
      <c r="AF188" s="718"/>
      <c r="AG188" s="718"/>
      <c r="AH188" s="726"/>
      <c r="AI188" s="860" t="str">
        <f t="shared" si="139"/>
        <v>Si</v>
      </c>
      <c r="AJ188" s="862">
        <f t="shared" si="140"/>
        <v>150000</v>
      </c>
    </row>
    <row r="189" spans="3:36" s="491" customFormat="1" ht="28.8" x14ac:dyDescent="0.3">
      <c r="C189" s="536" t="s">
        <v>1387</v>
      </c>
      <c r="D189" s="582" t="s">
        <v>255</v>
      </c>
      <c r="E189" s="405" t="s">
        <v>256</v>
      </c>
      <c r="F189" s="409">
        <v>175000</v>
      </c>
      <c r="G189" s="531">
        <v>46235</v>
      </c>
      <c r="H189" s="532">
        <v>46599</v>
      </c>
      <c r="I189" s="573"/>
      <c r="K189" s="725"/>
      <c r="L189" s="718"/>
      <c r="M189" s="718"/>
      <c r="N189" s="718"/>
      <c r="O189" s="718"/>
      <c r="P189" s="718"/>
      <c r="Q189" s="718"/>
      <c r="R189" s="591">
        <v>35000</v>
      </c>
      <c r="S189" s="591">
        <v>0</v>
      </c>
      <c r="T189" s="591">
        <v>0</v>
      </c>
      <c r="U189" s="591">
        <v>0</v>
      </c>
      <c r="V189" s="598">
        <v>0</v>
      </c>
      <c r="W189" s="850">
        <v>50000</v>
      </c>
      <c r="X189" s="591">
        <v>0</v>
      </c>
      <c r="Y189" s="591">
        <v>0</v>
      </c>
      <c r="Z189" s="591">
        <v>0</v>
      </c>
      <c r="AA189" s="591">
        <v>45000</v>
      </c>
      <c r="AB189" s="591">
        <v>0</v>
      </c>
      <c r="AC189" s="591">
        <v>45000</v>
      </c>
      <c r="AD189" s="718"/>
      <c r="AE189" s="718"/>
      <c r="AF189" s="718"/>
      <c r="AG189" s="718"/>
      <c r="AH189" s="726"/>
      <c r="AI189" s="860" t="str">
        <f t="shared" si="139"/>
        <v>Si</v>
      </c>
      <c r="AJ189" s="862">
        <f t="shared" si="140"/>
        <v>175000</v>
      </c>
    </row>
    <row r="190" spans="3:36" s="491" customFormat="1" x14ac:dyDescent="0.3">
      <c r="C190" s="536" t="s">
        <v>1387</v>
      </c>
      <c r="D190" s="582" t="s">
        <v>255</v>
      </c>
      <c r="E190" s="405" t="s">
        <v>257</v>
      </c>
      <c r="F190" s="409">
        <v>50000</v>
      </c>
      <c r="G190" s="531">
        <v>46388</v>
      </c>
      <c r="H190" s="532">
        <v>46599</v>
      </c>
      <c r="I190" s="573"/>
      <c r="K190" s="727"/>
      <c r="L190" s="719"/>
      <c r="M190" s="719"/>
      <c r="N190" s="719"/>
      <c r="O190" s="719"/>
      <c r="P190" s="719"/>
      <c r="Q190" s="719"/>
      <c r="R190" s="718"/>
      <c r="S190" s="718"/>
      <c r="T190" s="718"/>
      <c r="U190" s="718"/>
      <c r="V190" s="726"/>
      <c r="W190" s="850">
        <v>10000</v>
      </c>
      <c r="X190" s="591">
        <v>6666.666666666667</v>
      </c>
      <c r="Y190" s="591">
        <v>6666.666666666667</v>
      </c>
      <c r="Z190" s="591">
        <v>6666.666666666667</v>
      </c>
      <c r="AA190" s="591">
        <v>6666.666666666667</v>
      </c>
      <c r="AB190" s="591">
        <v>6666.666666666667</v>
      </c>
      <c r="AC190" s="591">
        <v>6666.666666666667</v>
      </c>
      <c r="AD190" s="718"/>
      <c r="AE190" s="718"/>
      <c r="AF190" s="718"/>
      <c r="AG190" s="718"/>
      <c r="AH190" s="726"/>
      <c r="AI190" s="860" t="str">
        <f t="shared" si="139"/>
        <v>Si</v>
      </c>
      <c r="AJ190" s="862">
        <f t="shared" si="140"/>
        <v>50000</v>
      </c>
    </row>
    <row r="191" spans="3:36" s="491" customFormat="1" ht="28.8" x14ac:dyDescent="0.3">
      <c r="C191" s="536" t="s">
        <v>1387</v>
      </c>
      <c r="D191" s="582" t="s">
        <v>255</v>
      </c>
      <c r="E191" s="405" t="s">
        <v>258</v>
      </c>
      <c r="F191" s="409">
        <v>175000</v>
      </c>
      <c r="G191" s="531">
        <v>46266</v>
      </c>
      <c r="H191" s="532">
        <v>46660</v>
      </c>
      <c r="I191" s="573"/>
      <c r="K191" s="725"/>
      <c r="L191" s="718"/>
      <c r="M191" s="718"/>
      <c r="N191" s="718"/>
      <c r="O191" s="718"/>
      <c r="P191" s="718"/>
      <c r="Q191" s="718"/>
      <c r="R191" s="718"/>
      <c r="S191" s="591">
        <v>35000</v>
      </c>
      <c r="T191" s="591">
        <v>0</v>
      </c>
      <c r="U191" s="591">
        <v>0</v>
      </c>
      <c r="V191" s="598">
        <v>0</v>
      </c>
      <c r="W191" s="850">
        <v>50000</v>
      </c>
      <c r="X191" s="591">
        <v>0</v>
      </c>
      <c r="Y191" s="591">
        <v>0</v>
      </c>
      <c r="Z191" s="591">
        <v>0</v>
      </c>
      <c r="AA191" s="591">
        <v>45000</v>
      </c>
      <c r="AB191" s="591">
        <v>0</v>
      </c>
      <c r="AC191" s="591">
        <v>0</v>
      </c>
      <c r="AD191" s="591">
        <v>0</v>
      </c>
      <c r="AE191" s="591">
        <v>45000</v>
      </c>
      <c r="AF191" s="718"/>
      <c r="AG191" s="718"/>
      <c r="AH191" s="726"/>
      <c r="AI191" s="860" t="str">
        <f t="shared" si="139"/>
        <v>Si</v>
      </c>
      <c r="AJ191" s="862">
        <f t="shared" si="140"/>
        <v>175000</v>
      </c>
    </row>
    <row r="192" spans="3:36" s="491" customFormat="1" x14ac:dyDescent="0.3">
      <c r="C192" s="536" t="s">
        <v>1387</v>
      </c>
      <c r="D192" s="582" t="s">
        <v>255</v>
      </c>
      <c r="E192" s="405" t="s">
        <v>259</v>
      </c>
      <c r="F192" s="409">
        <v>200000</v>
      </c>
      <c r="G192" s="531">
        <v>46204</v>
      </c>
      <c r="H192" s="532">
        <v>46599</v>
      </c>
      <c r="I192" s="573"/>
      <c r="K192" s="725"/>
      <c r="L192" s="718"/>
      <c r="M192" s="718"/>
      <c r="N192" s="718"/>
      <c r="O192" s="718"/>
      <c r="P192" s="718"/>
      <c r="Q192" s="591">
        <v>40000</v>
      </c>
      <c r="R192" s="591">
        <v>0</v>
      </c>
      <c r="S192" s="591">
        <v>0</v>
      </c>
      <c r="T192" s="591">
        <v>0</v>
      </c>
      <c r="U192" s="591">
        <v>0</v>
      </c>
      <c r="V192" s="598">
        <v>20000</v>
      </c>
      <c r="W192" s="850">
        <v>0</v>
      </c>
      <c r="X192" s="591">
        <v>0</v>
      </c>
      <c r="Y192" s="591">
        <v>100000</v>
      </c>
      <c r="Z192" s="591">
        <v>0</v>
      </c>
      <c r="AA192" s="591">
        <v>0</v>
      </c>
      <c r="AB192" s="591">
        <v>0</v>
      </c>
      <c r="AC192" s="591">
        <v>40000</v>
      </c>
      <c r="AD192" s="718"/>
      <c r="AE192" s="718"/>
      <c r="AF192" s="718"/>
      <c r="AG192" s="718"/>
      <c r="AH192" s="726"/>
      <c r="AI192" s="860" t="str">
        <f t="shared" si="139"/>
        <v>Si</v>
      </c>
      <c r="AJ192" s="862">
        <f t="shared" si="140"/>
        <v>200000</v>
      </c>
    </row>
    <row r="193" spans="3:36" s="491" customFormat="1" ht="57.6" x14ac:dyDescent="0.3">
      <c r="C193" s="536" t="s">
        <v>1387</v>
      </c>
      <c r="D193" s="582" t="s">
        <v>248</v>
      </c>
      <c r="E193" s="405" t="s">
        <v>260</v>
      </c>
      <c r="F193" s="409">
        <v>100000</v>
      </c>
      <c r="G193" s="531">
        <v>46204</v>
      </c>
      <c r="H193" s="532">
        <v>46326</v>
      </c>
      <c r="I193" s="573"/>
      <c r="K193" s="725"/>
      <c r="L193" s="718"/>
      <c r="M193" s="718"/>
      <c r="N193" s="718"/>
      <c r="O193" s="718"/>
      <c r="P193" s="718"/>
      <c r="Q193" s="719"/>
      <c r="R193" s="719"/>
      <c r="S193" s="719"/>
      <c r="T193" s="719"/>
      <c r="U193" s="718"/>
      <c r="V193" s="726"/>
      <c r="W193" s="850">
        <v>25000</v>
      </c>
      <c r="X193" s="591">
        <v>25000</v>
      </c>
      <c r="Y193" s="591">
        <v>25000</v>
      </c>
      <c r="Z193" s="591">
        <v>25000</v>
      </c>
      <c r="AA193" s="718"/>
      <c r="AB193" s="718"/>
      <c r="AC193" s="718"/>
      <c r="AD193" s="718"/>
      <c r="AE193" s="718"/>
      <c r="AF193" s="718"/>
      <c r="AG193" s="718"/>
      <c r="AH193" s="726"/>
      <c r="AI193" s="860" t="str">
        <f t="shared" si="139"/>
        <v>Si</v>
      </c>
      <c r="AJ193" s="862">
        <f t="shared" si="140"/>
        <v>100000</v>
      </c>
    </row>
    <row r="194" spans="3:36" s="491" customFormat="1" ht="57.6" x14ac:dyDescent="0.3">
      <c r="C194" s="536" t="s">
        <v>1387</v>
      </c>
      <c r="D194" s="582" t="s">
        <v>261</v>
      </c>
      <c r="E194" s="405" t="s">
        <v>262</v>
      </c>
      <c r="F194" s="409">
        <v>75000</v>
      </c>
      <c r="G194" s="531">
        <v>46204</v>
      </c>
      <c r="H194" s="532">
        <v>46326</v>
      </c>
      <c r="I194" s="573"/>
      <c r="K194" s="725"/>
      <c r="L194" s="718"/>
      <c r="M194" s="718"/>
      <c r="N194" s="718"/>
      <c r="O194" s="718"/>
      <c r="P194" s="718"/>
      <c r="Q194" s="719"/>
      <c r="R194" s="719"/>
      <c r="S194" s="719"/>
      <c r="T194" s="719"/>
      <c r="U194" s="718"/>
      <c r="V194" s="726"/>
      <c r="W194" s="850">
        <v>18750</v>
      </c>
      <c r="X194" s="591">
        <v>18750</v>
      </c>
      <c r="Y194" s="591">
        <v>18750</v>
      </c>
      <c r="Z194" s="591">
        <v>18750</v>
      </c>
      <c r="AA194" s="718"/>
      <c r="AB194" s="718"/>
      <c r="AC194" s="718"/>
      <c r="AD194" s="718"/>
      <c r="AE194" s="718"/>
      <c r="AF194" s="718"/>
      <c r="AG194" s="718"/>
      <c r="AH194" s="726"/>
      <c r="AI194" s="860" t="str">
        <f t="shared" si="139"/>
        <v>Si</v>
      </c>
      <c r="AJ194" s="862">
        <f t="shared" si="140"/>
        <v>75000</v>
      </c>
    </row>
    <row r="195" spans="3:36" s="491" customFormat="1" ht="28.8" x14ac:dyDescent="0.3">
      <c r="C195" s="536" t="s">
        <v>1387</v>
      </c>
      <c r="D195" s="582" t="s">
        <v>261</v>
      </c>
      <c r="E195" s="405" t="s">
        <v>263</v>
      </c>
      <c r="F195" s="409">
        <v>100000</v>
      </c>
      <c r="G195" s="531">
        <v>46388</v>
      </c>
      <c r="H195" s="532">
        <v>46599</v>
      </c>
      <c r="I195" s="573"/>
      <c r="K195" s="725"/>
      <c r="L195" s="718"/>
      <c r="M195" s="718"/>
      <c r="N195" s="718"/>
      <c r="O195" s="718"/>
      <c r="P195" s="718"/>
      <c r="Q195" s="718"/>
      <c r="R195" s="718"/>
      <c r="S195" s="718"/>
      <c r="T195" s="718"/>
      <c r="U195" s="718"/>
      <c r="V195" s="726"/>
      <c r="W195" s="850">
        <v>20000</v>
      </c>
      <c r="X195" s="591">
        <v>0</v>
      </c>
      <c r="Y195" s="591">
        <v>0</v>
      </c>
      <c r="Z195" s="717">
        <v>55000</v>
      </c>
      <c r="AA195" s="591">
        <v>0</v>
      </c>
      <c r="AB195" s="591">
        <v>0</v>
      </c>
      <c r="AC195" s="717">
        <v>25000</v>
      </c>
      <c r="AD195" s="718"/>
      <c r="AE195" s="718"/>
      <c r="AF195" s="718"/>
      <c r="AG195" s="718"/>
      <c r="AH195" s="726"/>
      <c r="AI195" s="860" t="str">
        <f t="shared" si="139"/>
        <v>Si</v>
      </c>
      <c r="AJ195" s="862">
        <f t="shared" si="140"/>
        <v>100000</v>
      </c>
    </row>
    <row r="196" spans="3:36" s="491" customFormat="1" ht="28.8" x14ac:dyDescent="0.3">
      <c r="C196" s="536" t="s">
        <v>1387</v>
      </c>
      <c r="D196" s="582" t="s">
        <v>261</v>
      </c>
      <c r="E196" s="405" t="s">
        <v>264</v>
      </c>
      <c r="F196" s="409">
        <v>50000</v>
      </c>
      <c r="G196" s="531">
        <v>46388</v>
      </c>
      <c r="H196" s="532">
        <v>46599</v>
      </c>
      <c r="I196" s="573"/>
      <c r="K196" s="725"/>
      <c r="L196" s="718"/>
      <c r="M196" s="718"/>
      <c r="N196" s="718"/>
      <c r="O196" s="718"/>
      <c r="P196" s="718"/>
      <c r="Q196" s="718"/>
      <c r="R196" s="718"/>
      <c r="S196" s="718"/>
      <c r="T196" s="718"/>
      <c r="U196" s="718"/>
      <c r="V196" s="726"/>
      <c r="W196" s="850">
        <v>10000</v>
      </c>
      <c r="X196" s="591">
        <v>0</v>
      </c>
      <c r="Y196" s="591">
        <v>0</v>
      </c>
      <c r="Z196" s="591">
        <v>25000</v>
      </c>
      <c r="AA196" s="591">
        <v>0</v>
      </c>
      <c r="AB196" s="591">
        <v>0</v>
      </c>
      <c r="AC196" s="591">
        <v>15000</v>
      </c>
      <c r="AD196" s="718"/>
      <c r="AE196" s="718"/>
      <c r="AF196" s="718"/>
      <c r="AG196" s="718"/>
      <c r="AH196" s="726"/>
      <c r="AI196" s="860" t="str">
        <f t="shared" si="139"/>
        <v>Si</v>
      </c>
      <c r="AJ196" s="862">
        <f t="shared" si="140"/>
        <v>50000</v>
      </c>
    </row>
    <row r="197" spans="3:36" s="491" customFormat="1" ht="28.8" x14ac:dyDescent="0.3">
      <c r="C197" s="536" t="s">
        <v>1387</v>
      </c>
      <c r="D197" s="582" t="s">
        <v>265</v>
      </c>
      <c r="E197" s="405" t="s">
        <v>266</v>
      </c>
      <c r="F197" s="409">
        <v>350000</v>
      </c>
      <c r="G197" s="531">
        <v>46388</v>
      </c>
      <c r="H197" s="532">
        <v>46599</v>
      </c>
      <c r="I197" s="573"/>
      <c r="K197" s="725"/>
      <c r="L197" s="718"/>
      <c r="M197" s="718"/>
      <c r="N197" s="718"/>
      <c r="O197" s="718"/>
      <c r="P197" s="718"/>
      <c r="Q197" s="718"/>
      <c r="R197" s="718"/>
      <c r="S197" s="718"/>
      <c r="T197" s="718"/>
      <c r="U197" s="718"/>
      <c r="V197" s="726"/>
      <c r="W197" s="850">
        <v>70000</v>
      </c>
      <c r="X197" s="591">
        <v>0</v>
      </c>
      <c r="Y197" s="591">
        <v>0</v>
      </c>
      <c r="Z197" s="591">
        <v>230000</v>
      </c>
      <c r="AA197" s="591">
        <v>0</v>
      </c>
      <c r="AB197" s="591">
        <v>0</v>
      </c>
      <c r="AC197" s="591">
        <v>50000</v>
      </c>
      <c r="AD197" s="718"/>
      <c r="AE197" s="718"/>
      <c r="AF197" s="718"/>
      <c r="AG197" s="718"/>
      <c r="AH197" s="726"/>
      <c r="AI197" s="860" t="str">
        <f t="shared" si="139"/>
        <v>Si</v>
      </c>
      <c r="AJ197" s="862">
        <f t="shared" si="140"/>
        <v>350000</v>
      </c>
    </row>
    <row r="198" spans="3:36" s="491" customFormat="1" ht="28.8" x14ac:dyDescent="0.3">
      <c r="C198" s="536" t="s">
        <v>1387</v>
      </c>
      <c r="D198" s="582" t="s">
        <v>265</v>
      </c>
      <c r="E198" s="405" t="s">
        <v>267</v>
      </c>
      <c r="F198" s="409">
        <v>125000</v>
      </c>
      <c r="G198" s="531">
        <v>46388</v>
      </c>
      <c r="H198" s="532">
        <v>46599</v>
      </c>
      <c r="I198" s="573"/>
      <c r="K198" s="725"/>
      <c r="L198" s="718"/>
      <c r="M198" s="718"/>
      <c r="N198" s="718"/>
      <c r="O198" s="718"/>
      <c r="P198" s="718"/>
      <c r="Q198" s="718"/>
      <c r="R198" s="718"/>
      <c r="S198" s="718"/>
      <c r="T198" s="718"/>
      <c r="U198" s="718"/>
      <c r="V198" s="726"/>
      <c r="W198" s="850">
        <v>25000</v>
      </c>
      <c r="X198" s="591">
        <v>0</v>
      </c>
      <c r="Y198" s="591">
        <v>0</v>
      </c>
      <c r="Z198" s="591">
        <v>75000</v>
      </c>
      <c r="AA198" s="591">
        <v>0</v>
      </c>
      <c r="AB198" s="591">
        <v>0</v>
      </c>
      <c r="AC198" s="591">
        <v>25000</v>
      </c>
      <c r="AD198" s="718"/>
      <c r="AE198" s="718"/>
      <c r="AF198" s="718"/>
      <c r="AG198" s="718"/>
      <c r="AH198" s="726"/>
      <c r="AI198" s="860" t="str">
        <f t="shared" si="139"/>
        <v>Si</v>
      </c>
      <c r="AJ198" s="862">
        <f t="shared" si="140"/>
        <v>125000</v>
      </c>
    </row>
    <row r="199" spans="3:36" s="491" customFormat="1" ht="29.4" thickBot="1" x14ac:dyDescent="0.35">
      <c r="C199" s="537" t="s">
        <v>1387</v>
      </c>
      <c r="D199" s="583" t="s">
        <v>241</v>
      </c>
      <c r="E199" s="427" t="s">
        <v>272</v>
      </c>
      <c r="F199" s="433">
        <v>200000</v>
      </c>
      <c r="G199" s="533">
        <v>46204</v>
      </c>
      <c r="H199" s="534">
        <v>46599</v>
      </c>
      <c r="I199" s="573"/>
      <c r="K199" s="725"/>
      <c r="L199" s="718"/>
      <c r="M199" s="718"/>
      <c r="N199" s="718"/>
      <c r="O199" s="718"/>
      <c r="P199" s="718"/>
      <c r="Q199" s="718"/>
      <c r="R199" s="591">
        <v>40000</v>
      </c>
      <c r="S199" s="591">
        <v>0</v>
      </c>
      <c r="T199" s="591">
        <v>0</v>
      </c>
      <c r="U199" s="591">
        <v>0</v>
      </c>
      <c r="V199" s="598">
        <v>0</v>
      </c>
      <c r="W199" s="852">
        <v>120000</v>
      </c>
      <c r="X199" s="591">
        <v>0</v>
      </c>
      <c r="Y199" s="591">
        <v>0</v>
      </c>
      <c r="Z199" s="591">
        <v>0</v>
      </c>
      <c r="AA199" s="591">
        <v>0</v>
      </c>
      <c r="AB199" s="591">
        <v>0</v>
      </c>
      <c r="AC199" s="599">
        <v>40000</v>
      </c>
      <c r="AD199" s="728"/>
      <c r="AE199" s="728"/>
      <c r="AF199" s="728"/>
      <c r="AG199" s="728"/>
      <c r="AH199" s="731"/>
      <c r="AI199" s="860" t="str">
        <f t="shared" si="139"/>
        <v>Si</v>
      </c>
      <c r="AJ199" s="862">
        <f t="shared" si="140"/>
        <v>200000</v>
      </c>
    </row>
    <row r="200" spans="3:36" s="491" customFormat="1" ht="15" thickBot="1" x14ac:dyDescent="0.35">
      <c r="E200" s="462" t="s">
        <v>26</v>
      </c>
      <c r="F200" s="463">
        <f>SUM(F177:F199)</f>
        <v>2500000</v>
      </c>
      <c r="G200" s="535"/>
      <c r="H200" s="535"/>
      <c r="K200" s="854">
        <f>+SUM(K177:K199)</f>
        <v>8333.3333333333358</v>
      </c>
      <c r="L200" s="855">
        <f t="shared" ref="L200:V200" si="141">+SUM(L177:L199)</f>
        <v>8333.3333333333358</v>
      </c>
      <c r="M200" s="855">
        <f t="shared" si="141"/>
        <v>8333.3333333333358</v>
      </c>
      <c r="N200" s="855">
        <f t="shared" si="141"/>
        <v>22619.047619047626</v>
      </c>
      <c r="O200" s="855">
        <f t="shared" si="141"/>
        <v>22619.047619047626</v>
      </c>
      <c r="P200" s="855">
        <f t="shared" si="141"/>
        <v>22619.047619047626</v>
      </c>
      <c r="Q200" s="855">
        <f t="shared" si="141"/>
        <v>70952.380952380961</v>
      </c>
      <c r="R200" s="855">
        <f t="shared" si="141"/>
        <v>200952.38095238095</v>
      </c>
      <c r="S200" s="855">
        <f t="shared" si="141"/>
        <v>65952.380952380961</v>
      </c>
      <c r="T200" s="855">
        <f t="shared" si="141"/>
        <v>30952.380952380961</v>
      </c>
      <c r="U200" s="855">
        <f t="shared" si="141"/>
        <v>16666.666666666672</v>
      </c>
      <c r="V200" s="856">
        <f t="shared" si="141"/>
        <v>56666.666666666672</v>
      </c>
      <c r="W200" s="854">
        <f>+SUM(W177:W199)</f>
        <v>540416.66666666663</v>
      </c>
      <c r="X200" s="855">
        <f t="shared" ref="X200" si="142">+SUM(X177:X199)</f>
        <v>67083.333333333343</v>
      </c>
      <c r="Y200" s="855">
        <f t="shared" ref="Y200" si="143">+SUM(Y177:Y199)</f>
        <v>167083.33333333334</v>
      </c>
      <c r="Z200" s="855">
        <f t="shared" ref="Z200" si="144">+SUM(Z177:Z199)</f>
        <v>462083.33333333337</v>
      </c>
      <c r="AA200" s="855">
        <f t="shared" ref="AA200" si="145">+SUM(AA177:AA199)</f>
        <v>208333.33333333334</v>
      </c>
      <c r="AB200" s="855">
        <f t="shared" ref="AB200" si="146">+SUM(AB177:AB199)</f>
        <v>23333.333333333336</v>
      </c>
      <c r="AC200" s="855">
        <f t="shared" ref="AC200" si="147">+SUM(AC177:AC199)</f>
        <v>368333.33333333337</v>
      </c>
      <c r="AD200" s="855">
        <f t="shared" ref="AD200" si="148">+SUM(AD177:AD199)</f>
        <v>16666.666666666668</v>
      </c>
      <c r="AE200" s="855">
        <f t="shared" ref="AE200" si="149">+SUM(AE177:AE199)</f>
        <v>61666.666666666672</v>
      </c>
      <c r="AF200" s="855">
        <f t="shared" ref="AF200" si="150">+SUM(AF177:AF199)</f>
        <v>16666.666666666668</v>
      </c>
      <c r="AG200" s="855">
        <f t="shared" ref="AG200" si="151">+SUM(AG177:AG199)</f>
        <v>16666.666666666668</v>
      </c>
      <c r="AH200" s="856">
        <f t="shared" ref="AH200" si="152">+SUM(AH177:AH199)</f>
        <v>16666.666666666668</v>
      </c>
      <c r="AI200" s="530"/>
    </row>
    <row r="201" spans="3:36" s="491" customFormat="1" ht="15" thickBot="1" x14ac:dyDescent="0.35">
      <c r="E201" s="528"/>
      <c r="F201" s="529"/>
      <c r="G201" s="535"/>
      <c r="H201" s="535"/>
      <c r="K201" s="971">
        <f>+SUM(K200:V200)</f>
        <v>535000</v>
      </c>
      <c r="L201" s="972"/>
      <c r="M201" s="972"/>
      <c r="N201" s="972"/>
      <c r="O201" s="972"/>
      <c r="P201" s="972"/>
      <c r="Q201" s="972"/>
      <c r="R201" s="972"/>
      <c r="S201" s="972"/>
      <c r="T201" s="972"/>
      <c r="U201" s="972"/>
      <c r="V201" s="973"/>
      <c r="W201" s="971">
        <f>+SUM(W200:AH200)</f>
        <v>1965000.0000000002</v>
      </c>
      <c r="X201" s="972"/>
      <c r="Y201" s="972"/>
      <c r="Z201" s="972"/>
      <c r="AA201" s="972"/>
      <c r="AB201" s="972"/>
      <c r="AC201" s="972"/>
      <c r="AD201" s="972"/>
      <c r="AE201" s="972"/>
      <c r="AF201" s="972"/>
      <c r="AG201" s="972"/>
      <c r="AH201" s="973"/>
      <c r="AI201" s="860" t="str">
        <f>IF(SUM(K201:AH201)=F200,"Si","No")</f>
        <v>Si</v>
      </c>
      <c r="AJ201" s="864">
        <f>+SUM(K201:AH201)</f>
        <v>2500000</v>
      </c>
    </row>
    <row r="202" spans="3:36" ht="15" thickBot="1" x14ac:dyDescent="0.35">
      <c r="K202" s="943">
        <f>+SUM(K201,K173,K155,K141,K129,K90,K73,K39,K33,K25,K15,K8)</f>
        <v>4476222.0223071892</v>
      </c>
      <c r="L202" s="944"/>
      <c r="M202" s="944"/>
      <c r="N202" s="944"/>
      <c r="O202" s="944"/>
      <c r="P202" s="944"/>
      <c r="Q202" s="944"/>
      <c r="R202" s="944"/>
      <c r="S202" s="944"/>
      <c r="T202" s="944"/>
      <c r="U202" s="944"/>
      <c r="V202" s="945"/>
      <c r="W202" s="943">
        <f>+SUM(W200:AH200,W172:AH172,W154:AH154,W140:AH140,W128:AH128,W89:AH89,W72:AH72,W38:AH38,W32:AH32,W24:AH24,W14:AH14,W7:AH7)</f>
        <v>5172295.5576928128</v>
      </c>
      <c r="X202" s="944"/>
      <c r="Y202" s="944"/>
      <c r="Z202" s="944"/>
      <c r="AA202" s="944"/>
      <c r="AB202" s="944"/>
      <c r="AC202" s="944"/>
      <c r="AD202" s="944"/>
      <c r="AE202" s="944"/>
      <c r="AF202" s="944"/>
      <c r="AG202" s="944"/>
      <c r="AH202" s="945"/>
    </row>
    <row r="203" spans="3:36" ht="15" thickBot="1" x14ac:dyDescent="0.35">
      <c r="E203" s="467" t="s">
        <v>273</v>
      </c>
      <c r="F203" s="468">
        <f>+F200+F172+F154+F140+F128+F89+F72+F38+F32+F24+F14+F7</f>
        <v>9648517.5800000001</v>
      </c>
      <c r="G203" s="21"/>
      <c r="H203"/>
      <c r="K203" s="713"/>
      <c r="L203" s="714"/>
      <c r="M203" s="714"/>
      <c r="N203" s="714"/>
      <c r="O203" s="714"/>
      <c r="P203" s="714"/>
      <c r="Q203" s="714"/>
      <c r="R203" s="714"/>
      <c r="S203" s="714"/>
      <c r="T203" s="714"/>
      <c r="U203" s="714"/>
      <c r="V203" s="942">
        <f>+SUM(K202:AH202)</f>
        <v>9648517.5800000019</v>
      </c>
      <c r="W203" s="942"/>
      <c r="X203" s="714"/>
      <c r="Y203" s="714"/>
      <c r="Z203" s="714"/>
      <c r="AA203" s="714"/>
      <c r="AB203" s="714"/>
      <c r="AC203" s="714"/>
      <c r="AD203" s="714"/>
      <c r="AE203" s="714"/>
      <c r="AF203" s="714"/>
      <c r="AG203" s="714"/>
      <c r="AH203" s="715"/>
    </row>
    <row r="204" spans="3:36" x14ac:dyDescent="0.3">
      <c r="K204" s="592"/>
      <c r="L204" s="592"/>
      <c r="M204" s="592"/>
      <c r="N204" s="592"/>
      <c r="O204" s="592"/>
      <c r="P204" s="592"/>
      <c r="Q204" s="592"/>
      <c r="R204" s="592"/>
      <c r="S204" s="592"/>
      <c r="T204" s="592"/>
      <c r="U204" s="592"/>
      <c r="V204" s="592"/>
      <c r="W204" s="592"/>
      <c r="X204" s="592"/>
      <c r="Y204" s="592"/>
      <c r="Z204" s="592"/>
      <c r="AA204" s="592"/>
      <c r="AB204" s="592"/>
      <c r="AC204" s="592"/>
      <c r="AD204" s="592"/>
      <c r="AE204" s="592"/>
      <c r="AF204" s="592"/>
      <c r="AG204" s="592"/>
      <c r="AH204" s="592"/>
    </row>
    <row r="205" spans="3:36" x14ac:dyDescent="0.3">
      <c r="K205" s="592"/>
      <c r="L205" s="592"/>
      <c r="M205" s="592"/>
      <c r="N205" s="592"/>
      <c r="O205" s="592"/>
      <c r="P205" s="592"/>
      <c r="Q205" s="592"/>
      <c r="R205" s="592"/>
      <c r="S205" s="592"/>
      <c r="T205" s="592"/>
      <c r="U205" s="592"/>
      <c r="V205" s="592"/>
      <c r="W205" s="592"/>
      <c r="X205" s="592"/>
      <c r="Y205" s="592"/>
      <c r="Z205" s="592"/>
      <c r="AA205" s="592"/>
      <c r="AB205" s="592"/>
      <c r="AC205" s="592"/>
      <c r="AD205" s="592"/>
      <c r="AE205" s="592"/>
      <c r="AF205" s="592"/>
      <c r="AG205" s="592"/>
      <c r="AH205" s="592"/>
    </row>
    <row r="206" spans="3:36" x14ac:dyDescent="0.3">
      <c r="K206" s="592"/>
      <c r="L206" s="592"/>
      <c r="M206" s="592"/>
      <c r="N206" s="592"/>
      <c r="O206" s="592"/>
      <c r="P206" s="592"/>
      <c r="Q206" s="592"/>
      <c r="R206" s="592"/>
      <c r="S206" s="592"/>
      <c r="T206" s="592"/>
      <c r="U206" s="592"/>
      <c r="V206" s="592"/>
      <c r="W206" s="592"/>
      <c r="X206" s="592"/>
      <c r="Y206" s="592"/>
      <c r="Z206" s="592"/>
      <c r="AA206" s="592"/>
      <c r="AB206" s="592"/>
      <c r="AC206" s="592"/>
      <c r="AD206" s="592"/>
      <c r="AE206" s="592"/>
      <c r="AF206" s="592"/>
      <c r="AG206" s="592"/>
      <c r="AH206" s="592"/>
    </row>
    <row r="207" spans="3:36" x14ac:dyDescent="0.3">
      <c r="K207" s="592"/>
      <c r="L207" s="592"/>
      <c r="M207" s="592"/>
      <c r="N207" s="592"/>
      <c r="O207" s="592"/>
      <c r="P207" s="592"/>
      <c r="Q207" s="592"/>
      <c r="R207" s="592"/>
      <c r="S207" s="592"/>
      <c r="T207" s="592"/>
      <c r="U207" s="592"/>
      <c r="V207" s="592"/>
      <c r="W207" s="592"/>
      <c r="X207" s="592"/>
      <c r="Y207" s="592"/>
      <c r="Z207" s="592"/>
      <c r="AA207" s="592"/>
      <c r="AB207" s="592"/>
      <c r="AC207" s="592"/>
      <c r="AD207" s="592"/>
      <c r="AE207" s="592"/>
      <c r="AF207" s="592"/>
      <c r="AG207" s="592"/>
      <c r="AH207" s="592"/>
    </row>
    <row r="208" spans="3:36" x14ac:dyDescent="0.3">
      <c r="K208" s="592"/>
      <c r="L208" s="592"/>
      <c r="M208" s="592"/>
      <c r="N208" s="592"/>
      <c r="O208" s="592"/>
      <c r="P208" s="592"/>
      <c r="Q208" s="592"/>
      <c r="R208" s="592"/>
      <c r="S208" s="592"/>
      <c r="T208" s="592"/>
      <c r="U208" s="592"/>
      <c r="V208" s="592"/>
      <c r="W208" s="592"/>
      <c r="X208" s="592"/>
      <c r="Y208" s="592"/>
      <c r="Z208" s="592"/>
      <c r="AA208" s="592"/>
      <c r="AB208" s="592"/>
      <c r="AC208" s="592"/>
      <c r="AD208" s="592"/>
      <c r="AE208" s="592"/>
      <c r="AF208" s="592"/>
      <c r="AG208" s="592"/>
      <c r="AH208" s="592"/>
    </row>
    <row r="209" spans="11:34" x14ac:dyDescent="0.3">
      <c r="K209" s="592"/>
      <c r="L209" s="592"/>
      <c r="M209" s="592"/>
      <c r="N209" s="592"/>
      <c r="O209" s="592"/>
      <c r="P209" s="592"/>
      <c r="Q209" s="592"/>
      <c r="R209" s="592"/>
      <c r="S209" s="592"/>
      <c r="T209" s="592"/>
      <c r="U209" s="592"/>
      <c r="V209" s="592"/>
      <c r="W209" s="592"/>
      <c r="X209" s="592"/>
      <c r="Y209" s="592"/>
      <c r="Z209" s="592"/>
      <c r="AA209" s="592"/>
      <c r="AB209" s="592"/>
      <c r="AC209" s="592"/>
      <c r="AD209" s="592"/>
      <c r="AE209" s="592"/>
      <c r="AF209" s="592"/>
      <c r="AG209" s="592"/>
      <c r="AH209" s="592"/>
    </row>
    <row r="210" spans="11:34" x14ac:dyDescent="0.3">
      <c r="K210" s="592"/>
      <c r="L210" s="592"/>
      <c r="M210" s="592"/>
      <c r="N210" s="592"/>
      <c r="O210" s="592"/>
      <c r="P210" s="592"/>
      <c r="Q210" s="592"/>
      <c r="R210" s="592"/>
      <c r="S210" s="592"/>
      <c r="T210" s="592"/>
      <c r="U210" s="592"/>
      <c r="V210" s="592"/>
      <c r="W210" s="592"/>
      <c r="X210" s="592"/>
      <c r="Y210" s="592"/>
      <c r="Z210" s="592"/>
      <c r="AA210" s="592"/>
      <c r="AB210" s="592"/>
      <c r="AC210" s="592"/>
      <c r="AD210" s="592"/>
      <c r="AE210" s="592"/>
      <c r="AF210" s="592"/>
      <c r="AG210" s="592"/>
      <c r="AH210" s="592"/>
    </row>
    <row r="211" spans="11:34" x14ac:dyDescent="0.3">
      <c r="K211" s="592"/>
      <c r="L211" s="592"/>
      <c r="M211" s="592"/>
      <c r="N211" s="592"/>
      <c r="O211" s="592"/>
      <c r="P211" s="592"/>
      <c r="Q211" s="592"/>
      <c r="R211" s="592"/>
      <c r="S211" s="592"/>
      <c r="T211" s="592"/>
      <c r="U211" s="592"/>
      <c r="V211" s="592"/>
      <c r="W211" s="592"/>
      <c r="X211" s="592"/>
      <c r="Y211" s="592"/>
      <c r="Z211" s="592"/>
      <c r="AA211" s="592"/>
      <c r="AB211" s="592"/>
      <c r="AC211" s="592"/>
      <c r="AD211" s="592"/>
      <c r="AE211" s="592"/>
      <c r="AF211" s="592"/>
      <c r="AG211" s="592"/>
      <c r="AH211" s="592"/>
    </row>
    <row r="212" spans="11:34" x14ac:dyDescent="0.3">
      <c r="K212" s="592"/>
      <c r="L212" s="592"/>
      <c r="M212" s="592"/>
      <c r="N212" s="592"/>
      <c r="O212" s="592"/>
      <c r="P212" s="592"/>
      <c r="Q212" s="592"/>
      <c r="R212" s="592"/>
      <c r="S212" s="592"/>
      <c r="T212" s="592"/>
      <c r="U212" s="592"/>
      <c r="V212" s="592"/>
      <c r="W212" s="592"/>
      <c r="X212" s="592"/>
      <c r="Y212" s="592"/>
      <c r="Z212" s="592"/>
      <c r="AA212" s="592"/>
      <c r="AB212" s="592"/>
      <c r="AC212" s="592"/>
      <c r="AD212" s="592"/>
      <c r="AE212" s="592"/>
      <c r="AF212" s="592"/>
      <c r="AG212" s="592"/>
      <c r="AH212" s="592"/>
    </row>
    <row r="213" spans="11:34" x14ac:dyDescent="0.3">
      <c r="K213" s="592"/>
      <c r="L213" s="592"/>
      <c r="M213" s="592"/>
      <c r="N213" s="592"/>
      <c r="O213" s="592"/>
      <c r="P213" s="592"/>
      <c r="Q213" s="592"/>
      <c r="R213" s="592"/>
      <c r="S213" s="592"/>
      <c r="T213" s="592"/>
      <c r="U213" s="592"/>
      <c r="V213" s="592"/>
      <c r="W213" s="592"/>
      <c r="X213" s="592"/>
      <c r="Y213" s="592"/>
      <c r="Z213" s="592"/>
      <c r="AA213" s="592"/>
      <c r="AB213" s="592"/>
      <c r="AC213" s="592"/>
      <c r="AD213" s="592"/>
      <c r="AE213" s="592"/>
      <c r="AF213" s="592"/>
      <c r="AG213" s="592"/>
      <c r="AH213" s="592"/>
    </row>
  </sheetData>
  <sortState xmlns:xlrd2="http://schemas.microsoft.com/office/spreadsheetml/2017/richdata2" ref="C177:AI199">
    <sortCondition ref="C177:C199"/>
  </sortState>
  <mergeCells count="139">
    <mergeCell ref="K8:V8"/>
    <mergeCell ref="W8:AH8"/>
    <mergeCell ref="K201:V201"/>
    <mergeCell ref="W201:AH201"/>
    <mergeCell ref="AI5:AJ5"/>
    <mergeCell ref="K33:V33"/>
    <mergeCell ref="W33:AH33"/>
    <mergeCell ref="K25:V25"/>
    <mergeCell ref="W25:AH25"/>
    <mergeCell ref="K15:V15"/>
    <mergeCell ref="W15:AH15"/>
    <mergeCell ref="K174:V174"/>
    <mergeCell ref="K175:V175"/>
    <mergeCell ref="K176:V176"/>
    <mergeCell ref="W174:AH174"/>
    <mergeCell ref="W175:AH175"/>
    <mergeCell ref="W176:AH176"/>
    <mergeCell ref="K20:V20"/>
    <mergeCell ref="W20:AH20"/>
    <mergeCell ref="K173:V173"/>
    <mergeCell ref="W173:AH173"/>
    <mergeCell ref="K155:V155"/>
    <mergeCell ref="W155:AH155"/>
    <mergeCell ref="K141:V141"/>
    <mergeCell ref="W141:AH141"/>
    <mergeCell ref="K129:V129"/>
    <mergeCell ref="W129:AH129"/>
    <mergeCell ref="K90:V90"/>
    <mergeCell ref="W90:AH90"/>
    <mergeCell ref="K73:V73"/>
    <mergeCell ref="W73:AH73"/>
    <mergeCell ref="K39:V39"/>
    <mergeCell ref="K9:V9"/>
    <mergeCell ref="K10:V10"/>
    <mergeCell ref="K11:V11"/>
    <mergeCell ref="W9:AH9"/>
    <mergeCell ref="W10:AH10"/>
    <mergeCell ref="W11:AH11"/>
    <mergeCell ref="K16:V16"/>
    <mergeCell ref="K17:V17"/>
    <mergeCell ref="K18:V18"/>
    <mergeCell ref="W16:AH16"/>
    <mergeCell ref="W17:AH17"/>
    <mergeCell ref="W18:AH18"/>
    <mergeCell ref="W26:AH26"/>
    <mergeCell ref="W27:AH27"/>
    <mergeCell ref="W28:AH28"/>
    <mergeCell ref="K26:V26"/>
    <mergeCell ref="K27:V27"/>
    <mergeCell ref="K28:V28"/>
    <mergeCell ref="W40:AH40"/>
    <mergeCell ref="W41:AH41"/>
    <mergeCell ref="W42:AH42"/>
    <mergeCell ref="W34:AH34"/>
    <mergeCell ref="W35:AH35"/>
    <mergeCell ref="W36:AH36"/>
    <mergeCell ref="W39:AH39"/>
    <mergeCell ref="K40:V40"/>
    <mergeCell ref="K41:V41"/>
    <mergeCell ref="K34:V34"/>
    <mergeCell ref="K35:V35"/>
    <mergeCell ref="K36:V36"/>
    <mergeCell ref="K42:V42"/>
    <mergeCell ref="W75:AH75"/>
    <mergeCell ref="W77:AH77"/>
    <mergeCell ref="K74:V74"/>
    <mergeCell ref="K75:V75"/>
    <mergeCell ref="K77:V77"/>
    <mergeCell ref="K91:V91"/>
    <mergeCell ref="K92:V92"/>
    <mergeCell ref="K107:V107"/>
    <mergeCell ref="W91:AH91"/>
    <mergeCell ref="W92:AH92"/>
    <mergeCell ref="W107:AH107"/>
    <mergeCell ref="C19:D19"/>
    <mergeCell ref="C3:D3"/>
    <mergeCell ref="C4:D4"/>
    <mergeCell ref="C9:D9"/>
    <mergeCell ref="C10:D10"/>
    <mergeCell ref="C16:D16"/>
    <mergeCell ref="C17:D17"/>
    <mergeCell ref="C18:D18"/>
    <mergeCell ref="C93:D93"/>
    <mergeCell ref="C26:D26"/>
    <mergeCell ref="C27:D27"/>
    <mergeCell ref="C34:D34"/>
    <mergeCell ref="C35:D35"/>
    <mergeCell ref="C40:D40"/>
    <mergeCell ref="C41:D41"/>
    <mergeCell ref="C74:D74"/>
    <mergeCell ref="C75:D75"/>
    <mergeCell ref="C76:D76"/>
    <mergeCell ref="C91:D91"/>
    <mergeCell ref="C92:D92"/>
    <mergeCell ref="C105:D105"/>
    <mergeCell ref="C94:D94"/>
    <mergeCell ref="C95:D95"/>
    <mergeCell ref="C96:D96"/>
    <mergeCell ref="C97:D97"/>
    <mergeCell ref="C98:D98"/>
    <mergeCell ref="C99:D99"/>
    <mergeCell ref="C175:D175"/>
    <mergeCell ref="C142:D142"/>
    <mergeCell ref="C143:D143"/>
    <mergeCell ref="C156:D156"/>
    <mergeCell ref="C157:D157"/>
    <mergeCell ref="C174:D174"/>
    <mergeCell ref="C106:D106"/>
    <mergeCell ref="C130:D130"/>
    <mergeCell ref="C131:D131"/>
    <mergeCell ref="C100:D100"/>
    <mergeCell ref="C101:D101"/>
    <mergeCell ref="C102:D102"/>
    <mergeCell ref="C103:D103"/>
    <mergeCell ref="C104:D104"/>
    <mergeCell ref="K4:V4"/>
    <mergeCell ref="W4:AH4"/>
    <mergeCell ref="V203:W203"/>
    <mergeCell ref="K202:V202"/>
    <mergeCell ref="W202:AH202"/>
    <mergeCell ref="W156:AH156"/>
    <mergeCell ref="K156:V156"/>
    <mergeCell ref="K158:V158"/>
    <mergeCell ref="W158:AH158"/>
    <mergeCell ref="W157:AH157"/>
    <mergeCell ref="K157:V157"/>
    <mergeCell ref="K142:V142"/>
    <mergeCell ref="K143:V143"/>
    <mergeCell ref="K144:V144"/>
    <mergeCell ref="W142:AH142"/>
    <mergeCell ref="W143:AH143"/>
    <mergeCell ref="W144:AH144"/>
    <mergeCell ref="K130:V130"/>
    <mergeCell ref="K131:V131"/>
    <mergeCell ref="K132:V132"/>
    <mergeCell ref="W130:AH130"/>
    <mergeCell ref="W131:AH131"/>
    <mergeCell ref="W132:AH132"/>
    <mergeCell ref="W74:AH74"/>
  </mergeCells>
  <conditionalFormatting sqref="AI6 AI12:AI13 AI21:AI23 AI29:AI31 AI37 AI43:AI71 AI78:AI88 AI108:AI127 AI133:AI139 AI145:AI153 AI159:AI171 AI177:AI199">
    <cfRule type="cellIs" dxfId="106" priority="27" operator="equal">
      <formula>"Si"</formula>
    </cfRule>
    <cfRule type="cellIs" dxfId="105" priority="28" operator="equal">
      <formula>"No"</formula>
    </cfRule>
  </conditionalFormatting>
  <conditionalFormatting sqref="AI6:AI199">
    <cfRule type="cellIs" dxfId="104" priority="26" operator="equal">
      <formula>"""Si"""</formula>
    </cfRule>
  </conditionalFormatting>
  <conditionalFormatting sqref="AI8">
    <cfRule type="cellIs" dxfId="103" priority="20" operator="equal">
      <formula>"Si"</formula>
    </cfRule>
    <cfRule type="cellIs" dxfId="102" priority="21" operator="equal">
      <formula>"No"</formula>
    </cfRule>
  </conditionalFormatting>
  <conditionalFormatting sqref="AI15">
    <cfRule type="cellIs" dxfId="101" priority="18" operator="equal">
      <formula>"Si"</formula>
    </cfRule>
    <cfRule type="cellIs" dxfId="100" priority="19" operator="equal">
      <formula>"No"</formula>
    </cfRule>
  </conditionalFormatting>
  <conditionalFormatting sqref="AI25">
    <cfRule type="cellIs" dxfId="99" priority="16" operator="equal">
      <formula>"Si"</formula>
    </cfRule>
    <cfRule type="cellIs" dxfId="98" priority="17" operator="equal">
      <formula>"No"</formula>
    </cfRule>
  </conditionalFormatting>
  <conditionalFormatting sqref="AI33">
    <cfRule type="cellIs" dxfId="97" priority="14" operator="equal">
      <formula>"Si"</formula>
    </cfRule>
    <cfRule type="cellIs" dxfId="96" priority="15" operator="equal">
      <formula>"No"</formula>
    </cfRule>
  </conditionalFormatting>
  <conditionalFormatting sqref="AI39">
    <cfRule type="cellIs" dxfId="95" priority="12" operator="equal">
      <formula>"Si"</formula>
    </cfRule>
    <cfRule type="cellIs" dxfId="94" priority="13" operator="equal">
      <formula>"No"</formula>
    </cfRule>
  </conditionalFormatting>
  <conditionalFormatting sqref="AI73">
    <cfRule type="cellIs" dxfId="93" priority="10" operator="equal">
      <formula>"Si"</formula>
    </cfRule>
    <cfRule type="cellIs" dxfId="92" priority="11" operator="equal">
      <formula>"No"</formula>
    </cfRule>
  </conditionalFormatting>
  <conditionalFormatting sqref="AI90">
    <cfRule type="cellIs" dxfId="91" priority="8" operator="equal">
      <formula>"Si"</formula>
    </cfRule>
    <cfRule type="cellIs" dxfId="90" priority="9" operator="equal">
      <formula>"No"</formula>
    </cfRule>
  </conditionalFormatting>
  <conditionalFormatting sqref="AI129">
    <cfRule type="cellIs" dxfId="89" priority="22" operator="equal">
      <formula>"Si"</formula>
    </cfRule>
    <cfRule type="cellIs" dxfId="88" priority="23" operator="equal">
      <formula>"No"</formula>
    </cfRule>
  </conditionalFormatting>
  <conditionalFormatting sqref="AI141">
    <cfRule type="cellIs" dxfId="87" priority="24" operator="equal">
      <formula>"Si"</formula>
    </cfRule>
    <cfRule type="cellIs" dxfId="86" priority="25" operator="equal">
      <formula>"No"</formula>
    </cfRule>
  </conditionalFormatting>
  <conditionalFormatting sqref="AI155">
    <cfRule type="cellIs" dxfId="85" priority="6" operator="equal">
      <formula>"Si"</formula>
    </cfRule>
    <cfRule type="cellIs" dxfId="84" priority="7" operator="equal">
      <formula>"No"</formula>
    </cfRule>
  </conditionalFormatting>
  <conditionalFormatting sqref="AI173">
    <cfRule type="cellIs" dxfId="83" priority="4" operator="equal">
      <formula>"Si"</formula>
    </cfRule>
    <cfRule type="cellIs" dxfId="82" priority="5" operator="equal">
      <formula>"No"</formula>
    </cfRule>
  </conditionalFormatting>
  <conditionalFormatting sqref="AI201">
    <cfRule type="cellIs" dxfId="81" priority="1" operator="equal">
      <formula>"Si"</formula>
    </cfRule>
    <cfRule type="cellIs" dxfId="80" priority="2" operator="equal">
      <formula>"No"</formula>
    </cfRule>
    <cfRule type="cellIs" dxfId="79" priority="3" operator="equal">
      <formula>"""Si"""</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E23B-A31C-4CF3-A998-7553AB235D41}">
  <dimension ref="B1:AB55"/>
  <sheetViews>
    <sheetView showGridLines="0" topLeftCell="G1" zoomScale="40" zoomScaleNormal="40" workbookViewId="0">
      <selection activeCell="R97" sqref="R97"/>
    </sheetView>
    <sheetView workbookViewId="1"/>
  </sheetViews>
  <sheetFormatPr baseColWidth="10" defaultColWidth="11.44140625" defaultRowHeight="14.4" x14ac:dyDescent="0.3"/>
  <cols>
    <col min="2" max="2" width="40.44140625" bestFit="1" customWidth="1"/>
    <col min="3" max="3" width="63.5546875" bestFit="1" customWidth="1"/>
    <col min="4" max="4" width="46.5546875" customWidth="1"/>
    <col min="5" max="22" width="30.44140625" bestFit="1" customWidth="1"/>
    <col min="23" max="28" width="29.6640625" bestFit="1" customWidth="1"/>
  </cols>
  <sheetData>
    <row r="1" spans="2:28" ht="15" thickBot="1" x14ac:dyDescent="0.35"/>
    <row r="2" spans="2:28" ht="14.4" customHeight="1" x14ac:dyDescent="0.3">
      <c r="B2" s="1106" t="e" vm="11">
        <v>#VALUE!</v>
      </c>
      <c r="C2" s="1107"/>
      <c r="D2" s="1107"/>
      <c r="E2" s="1108"/>
      <c r="F2" s="994" t="s">
        <v>1501</v>
      </c>
      <c r="G2" s="995"/>
      <c r="H2" s="995"/>
      <c r="I2" s="995"/>
      <c r="J2" s="995"/>
      <c r="K2" s="995"/>
      <c r="L2" s="995"/>
      <c r="M2" s="995"/>
      <c r="N2" s="995"/>
      <c r="O2" s="995"/>
      <c r="P2" s="995"/>
      <c r="Q2" s="995"/>
      <c r="R2" s="995"/>
      <c r="S2" s="995"/>
      <c r="T2" s="995"/>
      <c r="U2" s="995"/>
      <c r="V2" s="995"/>
      <c r="W2" s="1001" t="e" vm="12">
        <v>#VALUE!</v>
      </c>
      <c r="X2" s="1001"/>
      <c r="Y2" s="1001"/>
      <c r="Z2" s="1001"/>
      <c r="AA2" s="1001"/>
      <c r="AB2" s="1002"/>
    </row>
    <row r="3" spans="2:28" ht="14.4" customHeight="1" x14ac:dyDescent="0.3">
      <c r="B3" s="1109"/>
      <c r="C3" s="1110"/>
      <c r="D3" s="1110"/>
      <c r="E3" s="1111"/>
      <c r="F3" s="997"/>
      <c r="G3" s="998"/>
      <c r="H3" s="998"/>
      <c r="I3" s="998"/>
      <c r="J3" s="998"/>
      <c r="K3" s="998"/>
      <c r="L3" s="998"/>
      <c r="M3" s="998"/>
      <c r="N3" s="998"/>
      <c r="O3" s="998"/>
      <c r="P3" s="998"/>
      <c r="Q3" s="998"/>
      <c r="R3" s="998"/>
      <c r="S3" s="998"/>
      <c r="T3" s="998"/>
      <c r="U3" s="998"/>
      <c r="V3" s="998"/>
      <c r="W3" s="1004"/>
      <c r="X3" s="1004"/>
      <c r="Y3" s="1004"/>
      <c r="Z3" s="1004"/>
      <c r="AA3" s="1004"/>
      <c r="AB3" s="1005"/>
    </row>
    <row r="4" spans="2:28" ht="14.4" customHeight="1" x14ac:dyDescent="0.3">
      <c r="B4" s="1109"/>
      <c r="C4" s="1110"/>
      <c r="D4" s="1110"/>
      <c r="E4" s="1111"/>
      <c r="F4" s="997"/>
      <c r="G4" s="998"/>
      <c r="H4" s="998"/>
      <c r="I4" s="998"/>
      <c r="J4" s="998"/>
      <c r="K4" s="998"/>
      <c r="L4" s="998"/>
      <c r="M4" s="998"/>
      <c r="N4" s="998"/>
      <c r="O4" s="998"/>
      <c r="P4" s="998"/>
      <c r="Q4" s="998"/>
      <c r="R4" s="998"/>
      <c r="S4" s="998"/>
      <c r="T4" s="998"/>
      <c r="U4" s="998"/>
      <c r="V4" s="998"/>
      <c r="W4" s="1004"/>
      <c r="X4" s="1004"/>
      <c r="Y4" s="1004"/>
      <c r="Z4" s="1004"/>
      <c r="AA4" s="1004"/>
      <c r="AB4" s="1005"/>
    </row>
    <row r="5" spans="2:28" ht="14.4" customHeight="1" x14ac:dyDescent="0.3">
      <c r="B5" s="1109"/>
      <c r="C5" s="1110"/>
      <c r="D5" s="1110"/>
      <c r="E5" s="1111"/>
      <c r="F5" s="997"/>
      <c r="G5" s="998"/>
      <c r="H5" s="998"/>
      <c r="I5" s="998"/>
      <c r="J5" s="998"/>
      <c r="K5" s="998"/>
      <c r="L5" s="998"/>
      <c r="M5" s="998"/>
      <c r="N5" s="998"/>
      <c r="O5" s="998"/>
      <c r="P5" s="998"/>
      <c r="Q5" s="998"/>
      <c r="R5" s="998"/>
      <c r="S5" s="998"/>
      <c r="T5" s="998"/>
      <c r="U5" s="998"/>
      <c r="V5" s="998"/>
      <c r="W5" s="1004"/>
      <c r="X5" s="1004"/>
      <c r="Y5" s="1004"/>
      <c r="Z5" s="1004"/>
      <c r="AA5" s="1004"/>
      <c r="AB5" s="1005"/>
    </row>
    <row r="6" spans="2:28" ht="14.4" customHeight="1" x14ac:dyDescent="0.3">
      <c r="B6" s="1109"/>
      <c r="C6" s="1110"/>
      <c r="D6" s="1110"/>
      <c r="E6" s="1111"/>
      <c r="F6" s="1018" t="s">
        <v>1502</v>
      </c>
      <c r="G6" s="1019"/>
      <c r="H6" s="1019"/>
      <c r="I6" s="1019"/>
      <c r="J6" s="1019"/>
      <c r="K6" s="1019"/>
      <c r="L6" s="1019"/>
      <c r="M6" s="1019"/>
      <c r="N6" s="1019"/>
      <c r="O6" s="1019"/>
      <c r="P6" s="1019"/>
      <c r="Q6" s="1019"/>
      <c r="R6" s="1019"/>
      <c r="S6" s="1019"/>
      <c r="T6" s="1019"/>
      <c r="U6" s="1019"/>
      <c r="V6" s="1019"/>
      <c r="W6" s="1004"/>
      <c r="X6" s="1004"/>
      <c r="Y6" s="1004"/>
      <c r="Z6" s="1004"/>
      <c r="AA6" s="1004"/>
      <c r="AB6" s="1005"/>
    </row>
    <row r="7" spans="2:28" ht="14.4" customHeight="1" x14ac:dyDescent="0.3">
      <c r="B7" s="1109"/>
      <c r="C7" s="1110"/>
      <c r="D7" s="1110"/>
      <c r="E7" s="1111"/>
      <c r="F7" s="1018"/>
      <c r="G7" s="1019"/>
      <c r="H7" s="1019"/>
      <c r="I7" s="1019"/>
      <c r="J7" s="1019"/>
      <c r="K7" s="1019"/>
      <c r="L7" s="1019"/>
      <c r="M7" s="1019"/>
      <c r="N7" s="1019"/>
      <c r="O7" s="1019"/>
      <c r="P7" s="1019"/>
      <c r="Q7" s="1019"/>
      <c r="R7" s="1019"/>
      <c r="S7" s="1019"/>
      <c r="T7" s="1019"/>
      <c r="U7" s="1019"/>
      <c r="V7" s="1019"/>
      <c r="W7" s="1004"/>
      <c r="X7" s="1004"/>
      <c r="Y7" s="1004"/>
      <c r="Z7" s="1004"/>
      <c r="AA7" s="1004"/>
      <c r="AB7" s="1005"/>
    </row>
    <row r="8" spans="2:28" ht="14.4" customHeight="1" x14ac:dyDescent="0.3">
      <c r="B8" s="1109"/>
      <c r="C8" s="1110"/>
      <c r="D8" s="1110"/>
      <c r="E8" s="1111"/>
      <c r="F8" s="1018"/>
      <c r="G8" s="1019"/>
      <c r="H8" s="1019"/>
      <c r="I8" s="1019"/>
      <c r="J8" s="1019"/>
      <c r="K8" s="1019"/>
      <c r="L8" s="1019"/>
      <c r="M8" s="1019"/>
      <c r="N8" s="1019"/>
      <c r="O8" s="1019"/>
      <c r="P8" s="1019"/>
      <c r="Q8" s="1019"/>
      <c r="R8" s="1019"/>
      <c r="S8" s="1019"/>
      <c r="T8" s="1019"/>
      <c r="U8" s="1019"/>
      <c r="V8" s="1019"/>
      <c r="W8" s="1004"/>
      <c r="X8" s="1004"/>
      <c r="Y8" s="1004"/>
      <c r="Z8" s="1004"/>
      <c r="AA8" s="1004"/>
      <c r="AB8" s="1005"/>
    </row>
    <row r="9" spans="2:28" ht="14.4" customHeight="1" x14ac:dyDescent="0.3">
      <c r="B9" s="1109"/>
      <c r="C9" s="1110"/>
      <c r="D9" s="1110"/>
      <c r="E9" s="1111"/>
      <c r="F9" s="1012" t="s">
        <v>1508</v>
      </c>
      <c r="G9" s="1013" t="s">
        <v>1507</v>
      </c>
      <c r="H9" s="1013" t="s">
        <v>1507</v>
      </c>
      <c r="I9" s="1013" t="s">
        <v>1507</v>
      </c>
      <c r="J9" s="1013" t="s">
        <v>1507</v>
      </c>
      <c r="K9" s="1013" t="s">
        <v>1507</v>
      </c>
      <c r="L9" s="1013" t="s">
        <v>1507</v>
      </c>
      <c r="M9" s="1013" t="s">
        <v>1507</v>
      </c>
      <c r="N9" s="1013" t="s">
        <v>1507</v>
      </c>
      <c r="O9" s="1013" t="s">
        <v>1507</v>
      </c>
      <c r="P9" s="1013" t="s">
        <v>1507</v>
      </c>
      <c r="Q9" s="1013" t="s">
        <v>1507</v>
      </c>
      <c r="R9" s="1013" t="s">
        <v>1507</v>
      </c>
      <c r="S9" s="1013" t="s">
        <v>1507</v>
      </c>
      <c r="T9" s="1013" t="s">
        <v>1507</v>
      </c>
      <c r="U9" s="1013" t="s">
        <v>1507</v>
      </c>
      <c r="V9" s="1013" t="s">
        <v>1507</v>
      </c>
      <c r="W9" s="1004"/>
      <c r="X9" s="1004"/>
      <c r="Y9" s="1004"/>
      <c r="Z9" s="1004"/>
      <c r="AA9" s="1004"/>
      <c r="AB9" s="1005"/>
    </row>
    <row r="10" spans="2:28" ht="14.4" customHeight="1" x14ac:dyDescent="0.3">
      <c r="B10" s="1109"/>
      <c r="C10" s="1110"/>
      <c r="D10" s="1110"/>
      <c r="E10" s="1111"/>
      <c r="F10" s="1012" t="s">
        <v>1507</v>
      </c>
      <c r="G10" s="1013" t="s">
        <v>1507</v>
      </c>
      <c r="H10" s="1013" t="s">
        <v>1507</v>
      </c>
      <c r="I10" s="1013" t="s">
        <v>1507</v>
      </c>
      <c r="J10" s="1013" t="s">
        <v>1507</v>
      </c>
      <c r="K10" s="1013" t="s">
        <v>1507</v>
      </c>
      <c r="L10" s="1013" t="s">
        <v>1507</v>
      </c>
      <c r="M10" s="1013" t="s">
        <v>1507</v>
      </c>
      <c r="N10" s="1013" t="s">
        <v>1507</v>
      </c>
      <c r="O10" s="1013" t="s">
        <v>1507</v>
      </c>
      <c r="P10" s="1013" t="s">
        <v>1507</v>
      </c>
      <c r="Q10" s="1013" t="s">
        <v>1507</v>
      </c>
      <c r="R10" s="1013" t="s">
        <v>1507</v>
      </c>
      <c r="S10" s="1013" t="s">
        <v>1507</v>
      </c>
      <c r="T10" s="1013" t="s">
        <v>1507</v>
      </c>
      <c r="U10" s="1013" t="s">
        <v>1507</v>
      </c>
      <c r="V10" s="1013" t="s">
        <v>1507</v>
      </c>
      <c r="W10" s="1004"/>
      <c r="X10" s="1004"/>
      <c r="Y10" s="1004"/>
      <c r="Z10" s="1004"/>
      <c r="AA10" s="1004"/>
      <c r="AB10" s="1005"/>
    </row>
    <row r="11" spans="2:28" ht="15" customHeight="1" thickBot="1" x14ac:dyDescent="0.35">
      <c r="B11" s="1112"/>
      <c r="C11" s="1113"/>
      <c r="D11" s="1113"/>
      <c r="E11" s="1114"/>
      <c r="F11" s="1015" t="s">
        <v>1507</v>
      </c>
      <c r="G11" s="1016" t="s">
        <v>1507</v>
      </c>
      <c r="H11" s="1016" t="s">
        <v>1507</v>
      </c>
      <c r="I11" s="1016" t="s">
        <v>1507</v>
      </c>
      <c r="J11" s="1016" t="s">
        <v>1507</v>
      </c>
      <c r="K11" s="1016" t="s">
        <v>1507</v>
      </c>
      <c r="L11" s="1016" t="s">
        <v>1507</v>
      </c>
      <c r="M11" s="1016" t="s">
        <v>1507</v>
      </c>
      <c r="N11" s="1016" t="s">
        <v>1507</v>
      </c>
      <c r="O11" s="1016" t="s">
        <v>1507</v>
      </c>
      <c r="P11" s="1016" t="s">
        <v>1507</v>
      </c>
      <c r="Q11" s="1016" t="s">
        <v>1507</v>
      </c>
      <c r="R11" s="1016" t="s">
        <v>1507</v>
      </c>
      <c r="S11" s="1016" t="s">
        <v>1507</v>
      </c>
      <c r="T11" s="1016" t="s">
        <v>1507</v>
      </c>
      <c r="U11" s="1016" t="s">
        <v>1507</v>
      </c>
      <c r="V11" s="1016" t="s">
        <v>1507</v>
      </c>
      <c r="W11" s="1007"/>
      <c r="X11" s="1007"/>
      <c r="Y11" s="1007"/>
      <c r="Z11" s="1007"/>
      <c r="AA11" s="1007"/>
      <c r="AB11" s="1008"/>
    </row>
    <row r="12" spans="2:28" ht="29.4" thickBot="1" x14ac:dyDescent="0.35">
      <c r="B12" s="1197" t="s">
        <v>826</v>
      </c>
      <c r="C12" s="1198"/>
      <c r="D12" s="186">
        <v>65.5</v>
      </c>
      <c r="E12" s="1205">
        <v>2026</v>
      </c>
      <c r="F12" s="1205"/>
      <c r="G12" s="1205"/>
      <c r="H12" s="1205"/>
      <c r="I12" s="1205"/>
      <c r="J12" s="1205"/>
      <c r="K12" s="1205"/>
      <c r="L12" s="1205"/>
      <c r="M12" s="1205"/>
      <c r="N12" s="1205"/>
      <c r="O12" s="1205"/>
      <c r="P12" s="1206"/>
      <c r="Q12" s="1205">
        <v>2027</v>
      </c>
      <c r="R12" s="1205"/>
      <c r="S12" s="1205"/>
      <c r="T12" s="1205"/>
      <c r="U12" s="1205"/>
      <c r="V12" s="1205"/>
      <c r="W12" s="1205"/>
      <c r="X12" s="1205"/>
      <c r="Y12" s="1205"/>
      <c r="Z12" s="1205"/>
      <c r="AA12" s="1205"/>
      <c r="AB12" s="1206"/>
    </row>
    <row r="13" spans="2:28" ht="24" thickBot="1" x14ac:dyDescent="0.35">
      <c r="B13" s="173" t="s">
        <v>1207</v>
      </c>
      <c r="C13" s="173" t="s">
        <v>1208</v>
      </c>
      <c r="D13" s="173" t="s">
        <v>1209</v>
      </c>
      <c r="E13" s="173" t="s">
        <v>481</v>
      </c>
      <c r="F13" s="266" t="s">
        <v>482</v>
      </c>
      <c r="G13" s="267" t="s">
        <v>483</v>
      </c>
      <c r="H13" s="268" t="s">
        <v>484</v>
      </c>
      <c r="I13" s="266" t="s">
        <v>485</v>
      </c>
      <c r="J13" s="269" t="s">
        <v>486</v>
      </c>
      <c r="K13" s="173" t="s">
        <v>475</v>
      </c>
      <c r="L13" s="266" t="s">
        <v>476</v>
      </c>
      <c r="M13" s="267" t="s">
        <v>477</v>
      </c>
      <c r="N13" s="173" t="s">
        <v>478</v>
      </c>
      <c r="O13" s="266" t="s">
        <v>479</v>
      </c>
      <c r="P13" s="267" t="s">
        <v>480</v>
      </c>
      <c r="Q13" s="173" t="s">
        <v>481</v>
      </c>
      <c r="R13" s="266" t="s">
        <v>482</v>
      </c>
      <c r="S13" s="267" t="s">
        <v>483</v>
      </c>
      <c r="T13" s="268" t="s">
        <v>484</v>
      </c>
      <c r="U13" s="266" t="s">
        <v>485</v>
      </c>
      <c r="V13" s="269" t="s">
        <v>486</v>
      </c>
      <c r="W13" s="173" t="s">
        <v>475</v>
      </c>
      <c r="X13" s="266" t="s">
        <v>476</v>
      </c>
      <c r="Y13" s="267" t="s">
        <v>477</v>
      </c>
      <c r="Z13" s="173" t="s">
        <v>478</v>
      </c>
      <c r="AA13" s="266" t="s">
        <v>479</v>
      </c>
      <c r="AB13" s="267" t="s">
        <v>480</v>
      </c>
    </row>
    <row r="14" spans="2:28" ht="24" thickBot="1" x14ac:dyDescent="0.35">
      <c r="B14" s="1202" t="s">
        <v>1210</v>
      </c>
      <c r="C14" s="1203"/>
      <c r="D14" s="1203"/>
      <c r="E14" s="1203"/>
      <c r="F14" s="1203"/>
      <c r="G14" s="1203"/>
      <c r="H14" s="1203"/>
      <c r="I14" s="1203"/>
      <c r="J14" s="1203"/>
      <c r="K14" s="1203"/>
      <c r="L14" s="1203"/>
      <c r="M14" s="1203"/>
      <c r="N14" s="1203"/>
      <c r="O14" s="1203"/>
      <c r="P14" s="1203"/>
      <c r="Q14" s="1203"/>
      <c r="R14" s="1203"/>
      <c r="S14" s="1203"/>
      <c r="T14" s="1203"/>
      <c r="U14" s="1203"/>
      <c r="V14" s="1203"/>
      <c r="W14" s="1203"/>
      <c r="X14" s="1203"/>
      <c r="Y14" s="1203"/>
      <c r="Z14" s="1203"/>
      <c r="AA14" s="1203"/>
      <c r="AB14" s="1204"/>
    </row>
    <row r="15" spans="2:28" ht="23.4" x14ac:dyDescent="0.3">
      <c r="B15" s="270" t="s">
        <v>1211</v>
      </c>
      <c r="C15" s="271" t="s">
        <v>1212</v>
      </c>
      <c r="D15" s="272">
        <f>+SUM(E15:AB15)</f>
        <v>124800</v>
      </c>
      <c r="E15" s="195">
        <v>5200</v>
      </c>
      <c r="F15" s="188">
        <v>5200</v>
      </c>
      <c r="G15" s="189">
        <v>5200</v>
      </c>
      <c r="H15" s="273">
        <v>5200</v>
      </c>
      <c r="I15" s="188">
        <v>5200</v>
      </c>
      <c r="J15" s="274">
        <v>5200</v>
      </c>
      <c r="K15" s="199">
        <v>5200</v>
      </c>
      <c r="L15" s="188">
        <v>5200</v>
      </c>
      <c r="M15" s="274">
        <v>5200</v>
      </c>
      <c r="N15" s="199">
        <v>5200</v>
      </c>
      <c r="O15" s="188">
        <v>5200</v>
      </c>
      <c r="P15" s="189">
        <v>5200</v>
      </c>
      <c r="Q15" s="199">
        <v>5200</v>
      </c>
      <c r="R15" s="188">
        <v>5200</v>
      </c>
      <c r="S15" s="189">
        <v>5200</v>
      </c>
      <c r="T15" s="273">
        <v>5200</v>
      </c>
      <c r="U15" s="188">
        <v>5200</v>
      </c>
      <c r="V15" s="274">
        <v>5200</v>
      </c>
      <c r="W15" s="199">
        <v>5200</v>
      </c>
      <c r="X15" s="188">
        <v>5200</v>
      </c>
      <c r="Y15" s="274">
        <v>5200</v>
      </c>
      <c r="Z15" s="199">
        <v>5200</v>
      </c>
      <c r="AA15" s="188">
        <v>5200</v>
      </c>
      <c r="AB15" s="189">
        <v>5200</v>
      </c>
    </row>
    <row r="16" spans="2:28" ht="23.4" x14ac:dyDescent="0.3">
      <c r="B16" s="275" t="s">
        <v>1213</v>
      </c>
      <c r="C16" s="276" t="s">
        <v>1214</v>
      </c>
      <c r="D16" s="272">
        <f t="shared" ref="D16:D27" si="0">+SUM(E16:AB16)</f>
        <v>94800</v>
      </c>
      <c r="E16" s="195">
        <v>3950</v>
      </c>
      <c r="F16" s="190">
        <v>3950</v>
      </c>
      <c r="G16" s="191">
        <v>3950</v>
      </c>
      <c r="H16" s="277">
        <v>3950</v>
      </c>
      <c r="I16" s="190">
        <v>3950</v>
      </c>
      <c r="J16" s="278">
        <v>3950</v>
      </c>
      <c r="K16" s="195">
        <v>3950</v>
      </c>
      <c r="L16" s="190">
        <v>3950</v>
      </c>
      <c r="M16" s="278">
        <v>3950</v>
      </c>
      <c r="N16" s="195">
        <v>3950</v>
      </c>
      <c r="O16" s="190">
        <v>3950</v>
      </c>
      <c r="P16" s="191">
        <v>3950</v>
      </c>
      <c r="Q16" s="195">
        <v>3950</v>
      </c>
      <c r="R16" s="190">
        <v>3950</v>
      </c>
      <c r="S16" s="191">
        <v>3950</v>
      </c>
      <c r="T16" s="277">
        <v>3950</v>
      </c>
      <c r="U16" s="190">
        <v>3950</v>
      </c>
      <c r="V16" s="278">
        <v>3950</v>
      </c>
      <c r="W16" s="195">
        <v>3950</v>
      </c>
      <c r="X16" s="190">
        <v>3950</v>
      </c>
      <c r="Y16" s="278">
        <v>3950</v>
      </c>
      <c r="Z16" s="195">
        <v>3950</v>
      </c>
      <c r="AA16" s="190">
        <v>3950</v>
      </c>
      <c r="AB16" s="191">
        <v>3950</v>
      </c>
    </row>
    <row r="17" spans="2:28" ht="23.4" x14ac:dyDescent="0.3">
      <c r="B17" s="279" t="s">
        <v>1215</v>
      </c>
      <c r="C17" s="280" t="s">
        <v>1216</v>
      </c>
      <c r="D17" s="272">
        <f t="shared" si="0"/>
        <v>76800</v>
      </c>
      <c r="E17" s="195">
        <v>3200</v>
      </c>
      <c r="F17" s="192">
        <v>3200</v>
      </c>
      <c r="G17" s="193">
        <v>3200</v>
      </c>
      <c r="H17" s="281">
        <v>3200</v>
      </c>
      <c r="I17" s="192">
        <v>3200</v>
      </c>
      <c r="J17" s="282">
        <v>3200</v>
      </c>
      <c r="K17" s="194">
        <v>3200</v>
      </c>
      <c r="L17" s="192">
        <v>3200</v>
      </c>
      <c r="M17" s="282">
        <v>3200</v>
      </c>
      <c r="N17" s="194">
        <v>3200</v>
      </c>
      <c r="O17" s="192">
        <v>3200</v>
      </c>
      <c r="P17" s="193">
        <v>3200</v>
      </c>
      <c r="Q17" s="194">
        <v>3200</v>
      </c>
      <c r="R17" s="192">
        <v>3200</v>
      </c>
      <c r="S17" s="193">
        <v>3200</v>
      </c>
      <c r="T17" s="281">
        <v>3200</v>
      </c>
      <c r="U17" s="192">
        <v>3200</v>
      </c>
      <c r="V17" s="282">
        <v>3200</v>
      </c>
      <c r="W17" s="195">
        <v>3200</v>
      </c>
      <c r="X17" s="190">
        <v>3200</v>
      </c>
      <c r="Y17" s="278">
        <v>3200</v>
      </c>
      <c r="Z17" s="195">
        <v>3200</v>
      </c>
      <c r="AA17" s="190">
        <v>3200</v>
      </c>
      <c r="AB17" s="191">
        <v>3200</v>
      </c>
    </row>
    <row r="18" spans="2:28" ht="23.4" x14ac:dyDescent="0.3">
      <c r="B18" s="279" t="s">
        <v>1217</v>
      </c>
      <c r="C18" s="280" t="s">
        <v>1218</v>
      </c>
      <c r="D18" s="272">
        <f t="shared" si="0"/>
        <v>84000</v>
      </c>
      <c r="E18" s="195">
        <v>3500</v>
      </c>
      <c r="F18" s="192">
        <v>3500</v>
      </c>
      <c r="G18" s="193">
        <v>3500</v>
      </c>
      <c r="H18" s="281">
        <v>3500</v>
      </c>
      <c r="I18" s="192">
        <v>3500</v>
      </c>
      <c r="J18" s="282">
        <v>3500</v>
      </c>
      <c r="K18" s="194">
        <v>3500</v>
      </c>
      <c r="L18" s="192">
        <v>3500</v>
      </c>
      <c r="M18" s="282">
        <v>3500</v>
      </c>
      <c r="N18" s="194">
        <v>3500</v>
      </c>
      <c r="O18" s="192">
        <v>3500</v>
      </c>
      <c r="P18" s="193">
        <v>3500</v>
      </c>
      <c r="Q18" s="194">
        <v>3500</v>
      </c>
      <c r="R18" s="192">
        <v>3500</v>
      </c>
      <c r="S18" s="193">
        <v>3500</v>
      </c>
      <c r="T18" s="281">
        <v>3500</v>
      </c>
      <c r="U18" s="192">
        <v>3500</v>
      </c>
      <c r="V18" s="282">
        <v>3500</v>
      </c>
      <c r="W18" s="194">
        <v>3500</v>
      </c>
      <c r="X18" s="192">
        <v>3500</v>
      </c>
      <c r="Y18" s="282">
        <v>3500</v>
      </c>
      <c r="Z18" s="194">
        <v>3500</v>
      </c>
      <c r="AA18" s="192">
        <v>3500</v>
      </c>
      <c r="AB18" s="193">
        <v>3500</v>
      </c>
    </row>
    <row r="19" spans="2:28" ht="23.4" x14ac:dyDescent="0.3">
      <c r="B19" s="279" t="s">
        <v>1219</v>
      </c>
      <c r="C19" s="280" t="s">
        <v>1220</v>
      </c>
      <c r="D19" s="272">
        <f t="shared" si="0"/>
        <v>90000</v>
      </c>
      <c r="E19" s="195">
        <v>3750</v>
      </c>
      <c r="F19" s="192">
        <v>3750</v>
      </c>
      <c r="G19" s="193">
        <v>3750</v>
      </c>
      <c r="H19" s="281">
        <v>3750</v>
      </c>
      <c r="I19" s="192">
        <v>3750</v>
      </c>
      <c r="J19" s="282">
        <v>3750</v>
      </c>
      <c r="K19" s="194">
        <v>3750</v>
      </c>
      <c r="L19" s="192">
        <v>3750</v>
      </c>
      <c r="M19" s="282">
        <v>3750</v>
      </c>
      <c r="N19" s="194">
        <v>3750</v>
      </c>
      <c r="O19" s="192">
        <v>3750</v>
      </c>
      <c r="P19" s="193">
        <v>3750</v>
      </c>
      <c r="Q19" s="194">
        <v>3750</v>
      </c>
      <c r="R19" s="192">
        <v>3750</v>
      </c>
      <c r="S19" s="193">
        <v>3750</v>
      </c>
      <c r="T19" s="281">
        <v>3750</v>
      </c>
      <c r="U19" s="192">
        <v>3750</v>
      </c>
      <c r="V19" s="282">
        <v>3750</v>
      </c>
      <c r="W19" s="195">
        <v>3750</v>
      </c>
      <c r="X19" s="190">
        <v>3750</v>
      </c>
      <c r="Y19" s="278">
        <v>3750</v>
      </c>
      <c r="Z19" s="195">
        <v>3750</v>
      </c>
      <c r="AA19" s="190">
        <v>3750</v>
      </c>
      <c r="AB19" s="191">
        <v>3750</v>
      </c>
    </row>
    <row r="20" spans="2:28" ht="23.4" x14ac:dyDescent="0.3">
      <c r="B20" s="279" t="s">
        <v>1221</v>
      </c>
      <c r="C20" s="280" t="s">
        <v>1222</v>
      </c>
      <c r="D20" s="272">
        <f t="shared" si="0"/>
        <v>76800</v>
      </c>
      <c r="E20" s="195">
        <v>3200</v>
      </c>
      <c r="F20" s="192">
        <v>3200</v>
      </c>
      <c r="G20" s="193">
        <v>3200</v>
      </c>
      <c r="H20" s="281">
        <v>3200</v>
      </c>
      <c r="I20" s="192">
        <v>3200</v>
      </c>
      <c r="J20" s="282">
        <v>3200</v>
      </c>
      <c r="K20" s="194">
        <v>3200</v>
      </c>
      <c r="L20" s="192">
        <v>3200</v>
      </c>
      <c r="M20" s="282">
        <v>3200</v>
      </c>
      <c r="N20" s="194">
        <v>3200</v>
      </c>
      <c r="O20" s="192">
        <v>3200</v>
      </c>
      <c r="P20" s="193">
        <v>3200</v>
      </c>
      <c r="Q20" s="194">
        <v>3200</v>
      </c>
      <c r="R20" s="192">
        <v>3200</v>
      </c>
      <c r="S20" s="193">
        <v>3200</v>
      </c>
      <c r="T20" s="281">
        <v>3200</v>
      </c>
      <c r="U20" s="192">
        <v>3200</v>
      </c>
      <c r="V20" s="282">
        <v>3200</v>
      </c>
      <c r="W20" s="195">
        <v>3200</v>
      </c>
      <c r="X20" s="190">
        <v>3200</v>
      </c>
      <c r="Y20" s="278">
        <v>3200</v>
      </c>
      <c r="Z20" s="195">
        <v>3200</v>
      </c>
      <c r="AA20" s="190">
        <v>3200</v>
      </c>
      <c r="AB20" s="191">
        <v>3200</v>
      </c>
    </row>
    <row r="21" spans="2:28" ht="23.4" x14ac:dyDescent="0.3">
      <c r="B21" s="279" t="s">
        <v>1223</v>
      </c>
      <c r="C21" s="280" t="s">
        <v>1224</v>
      </c>
      <c r="D21" s="272">
        <f t="shared" si="0"/>
        <v>84000</v>
      </c>
      <c r="E21" s="195">
        <v>3500</v>
      </c>
      <c r="F21" s="192">
        <v>3500</v>
      </c>
      <c r="G21" s="193">
        <v>3500</v>
      </c>
      <c r="H21" s="281">
        <v>3500</v>
      </c>
      <c r="I21" s="192">
        <v>3500</v>
      </c>
      <c r="J21" s="282">
        <v>3500</v>
      </c>
      <c r="K21" s="194">
        <v>3500</v>
      </c>
      <c r="L21" s="192">
        <v>3500</v>
      </c>
      <c r="M21" s="282">
        <v>3500</v>
      </c>
      <c r="N21" s="194">
        <v>3500</v>
      </c>
      <c r="O21" s="192">
        <v>3500</v>
      </c>
      <c r="P21" s="193">
        <v>3500</v>
      </c>
      <c r="Q21" s="194">
        <v>3500</v>
      </c>
      <c r="R21" s="192">
        <v>3500</v>
      </c>
      <c r="S21" s="193">
        <v>3500</v>
      </c>
      <c r="T21" s="281">
        <v>3500</v>
      </c>
      <c r="U21" s="192">
        <v>3500</v>
      </c>
      <c r="V21" s="282">
        <v>3500</v>
      </c>
      <c r="W21" s="195">
        <v>3500</v>
      </c>
      <c r="X21" s="190">
        <v>3500</v>
      </c>
      <c r="Y21" s="278">
        <v>3500</v>
      </c>
      <c r="Z21" s="195">
        <v>3500</v>
      </c>
      <c r="AA21" s="190">
        <v>3500</v>
      </c>
      <c r="AB21" s="191">
        <v>3500</v>
      </c>
    </row>
    <row r="22" spans="2:28" ht="23.4" x14ac:dyDescent="0.3">
      <c r="B22" s="279" t="s">
        <v>1225</v>
      </c>
      <c r="C22" s="280" t="s">
        <v>1226</v>
      </c>
      <c r="D22" s="272">
        <f t="shared" si="0"/>
        <v>71700</v>
      </c>
      <c r="E22" s="195">
        <v>2800</v>
      </c>
      <c r="F22" s="192">
        <v>2800</v>
      </c>
      <c r="G22" s="193">
        <v>2800</v>
      </c>
      <c r="H22" s="281">
        <v>2800</v>
      </c>
      <c r="I22" s="192">
        <v>2800</v>
      </c>
      <c r="J22" s="282">
        <v>2800</v>
      </c>
      <c r="K22" s="194">
        <v>2800</v>
      </c>
      <c r="L22" s="192">
        <v>2800</v>
      </c>
      <c r="M22" s="192">
        <v>2800</v>
      </c>
      <c r="N22" s="194">
        <v>3100</v>
      </c>
      <c r="O22" s="192">
        <v>3100</v>
      </c>
      <c r="P22" s="193">
        <v>3100</v>
      </c>
      <c r="Q22" s="194">
        <v>3100</v>
      </c>
      <c r="R22" s="192">
        <v>3100</v>
      </c>
      <c r="S22" s="193">
        <v>3100</v>
      </c>
      <c r="T22" s="281">
        <v>3100</v>
      </c>
      <c r="U22" s="192">
        <v>3100</v>
      </c>
      <c r="V22" s="282">
        <v>3100</v>
      </c>
      <c r="W22" s="195">
        <v>3100</v>
      </c>
      <c r="X22" s="190">
        <v>3100</v>
      </c>
      <c r="Y22" s="278">
        <v>3100</v>
      </c>
      <c r="Z22" s="195">
        <v>3100</v>
      </c>
      <c r="AA22" s="190">
        <v>3100</v>
      </c>
      <c r="AB22" s="191">
        <v>3100</v>
      </c>
    </row>
    <row r="23" spans="2:28" ht="23.4" x14ac:dyDescent="0.3">
      <c r="B23" s="275" t="s">
        <v>1227</v>
      </c>
      <c r="C23" s="276" t="s">
        <v>1228</v>
      </c>
      <c r="D23" s="272">
        <f t="shared" si="0"/>
        <v>42000</v>
      </c>
      <c r="E23" s="195">
        <v>1750</v>
      </c>
      <c r="F23" s="190">
        <v>1750</v>
      </c>
      <c r="G23" s="191">
        <v>1750</v>
      </c>
      <c r="H23" s="277">
        <v>1750</v>
      </c>
      <c r="I23" s="190">
        <v>1750</v>
      </c>
      <c r="J23" s="278">
        <v>1750</v>
      </c>
      <c r="K23" s="195">
        <v>1750</v>
      </c>
      <c r="L23" s="190">
        <v>1750</v>
      </c>
      <c r="M23" s="190">
        <v>1750</v>
      </c>
      <c r="N23" s="195">
        <v>1750</v>
      </c>
      <c r="O23" s="190">
        <v>1750</v>
      </c>
      <c r="P23" s="191">
        <v>1750</v>
      </c>
      <c r="Q23" s="195">
        <v>1750</v>
      </c>
      <c r="R23" s="190">
        <v>1750</v>
      </c>
      <c r="S23" s="191">
        <v>1750</v>
      </c>
      <c r="T23" s="277">
        <v>1750</v>
      </c>
      <c r="U23" s="190">
        <v>1750</v>
      </c>
      <c r="V23" s="278">
        <v>1750</v>
      </c>
      <c r="W23" s="195">
        <v>1750</v>
      </c>
      <c r="X23" s="190">
        <v>1750</v>
      </c>
      <c r="Y23" s="278">
        <v>1750</v>
      </c>
      <c r="Z23" s="195">
        <v>1750</v>
      </c>
      <c r="AA23" s="190">
        <v>1750</v>
      </c>
      <c r="AB23" s="191">
        <v>1750</v>
      </c>
    </row>
    <row r="24" spans="2:28" ht="23.4" x14ac:dyDescent="0.3">
      <c r="B24" s="275" t="s">
        <v>1229</v>
      </c>
      <c r="C24" s="276" t="s">
        <v>1230</v>
      </c>
      <c r="D24" s="272">
        <f t="shared" si="0"/>
        <v>55200</v>
      </c>
      <c r="E24" s="195">
        <v>2300</v>
      </c>
      <c r="F24" s="190">
        <v>2300</v>
      </c>
      <c r="G24" s="191">
        <v>2300</v>
      </c>
      <c r="H24" s="277">
        <v>2300</v>
      </c>
      <c r="I24" s="190">
        <v>2300</v>
      </c>
      <c r="J24" s="278">
        <v>2300</v>
      </c>
      <c r="K24" s="195">
        <v>2300</v>
      </c>
      <c r="L24" s="190">
        <v>2300</v>
      </c>
      <c r="M24" s="190">
        <v>2300</v>
      </c>
      <c r="N24" s="195">
        <v>2300</v>
      </c>
      <c r="O24" s="190">
        <v>2300</v>
      </c>
      <c r="P24" s="191">
        <v>2300</v>
      </c>
      <c r="Q24" s="195">
        <v>2300</v>
      </c>
      <c r="R24" s="190">
        <v>2300</v>
      </c>
      <c r="S24" s="191">
        <v>2300</v>
      </c>
      <c r="T24" s="277">
        <v>2300</v>
      </c>
      <c r="U24" s="190">
        <v>2300</v>
      </c>
      <c r="V24" s="278">
        <v>2300</v>
      </c>
      <c r="W24" s="195">
        <v>2300</v>
      </c>
      <c r="X24" s="190">
        <v>2300</v>
      </c>
      <c r="Y24" s="278">
        <v>2300</v>
      </c>
      <c r="Z24" s="195">
        <v>2300</v>
      </c>
      <c r="AA24" s="190">
        <v>2300</v>
      </c>
      <c r="AB24" s="191">
        <v>2300</v>
      </c>
    </row>
    <row r="25" spans="2:28" ht="23.4" x14ac:dyDescent="0.3">
      <c r="B25" s="275" t="s">
        <v>1231</v>
      </c>
      <c r="C25" s="276" t="s">
        <v>1232</v>
      </c>
      <c r="D25" s="272">
        <f t="shared" si="0"/>
        <v>33600</v>
      </c>
      <c r="E25" s="195">
        <v>1400</v>
      </c>
      <c r="F25" s="190">
        <v>1400</v>
      </c>
      <c r="G25" s="191">
        <v>1400</v>
      </c>
      <c r="H25" s="277">
        <v>1400</v>
      </c>
      <c r="I25" s="190">
        <v>1400</v>
      </c>
      <c r="J25" s="278">
        <v>1400</v>
      </c>
      <c r="K25" s="195">
        <v>1400</v>
      </c>
      <c r="L25" s="190">
        <v>1400</v>
      </c>
      <c r="M25" s="190">
        <v>1400</v>
      </c>
      <c r="N25" s="195">
        <v>1400</v>
      </c>
      <c r="O25" s="190">
        <v>1400</v>
      </c>
      <c r="P25" s="191">
        <v>1400</v>
      </c>
      <c r="Q25" s="195">
        <v>1400</v>
      </c>
      <c r="R25" s="190">
        <v>1400</v>
      </c>
      <c r="S25" s="191">
        <v>1400</v>
      </c>
      <c r="T25" s="277">
        <v>1400</v>
      </c>
      <c r="U25" s="190">
        <v>1400</v>
      </c>
      <c r="V25" s="278">
        <v>1400</v>
      </c>
      <c r="W25" s="195">
        <v>1400</v>
      </c>
      <c r="X25" s="190">
        <v>1400</v>
      </c>
      <c r="Y25" s="278">
        <v>1400</v>
      </c>
      <c r="Z25" s="195">
        <v>1400</v>
      </c>
      <c r="AA25" s="190">
        <v>1400</v>
      </c>
      <c r="AB25" s="191">
        <v>1400</v>
      </c>
    </row>
    <row r="26" spans="2:28" ht="23.4" x14ac:dyDescent="0.3">
      <c r="B26" s="275" t="s">
        <v>1233</v>
      </c>
      <c r="C26" s="276" t="s">
        <v>1234</v>
      </c>
      <c r="D26" s="272">
        <f t="shared" si="0"/>
        <v>33600</v>
      </c>
      <c r="E26" s="195">
        <v>1400</v>
      </c>
      <c r="F26" s="190">
        <v>1400</v>
      </c>
      <c r="G26" s="191">
        <v>1400</v>
      </c>
      <c r="H26" s="277">
        <v>1400</v>
      </c>
      <c r="I26" s="190">
        <v>1400</v>
      </c>
      <c r="J26" s="278">
        <v>1400</v>
      </c>
      <c r="K26" s="195">
        <v>1400</v>
      </c>
      <c r="L26" s="190">
        <v>1400</v>
      </c>
      <c r="M26" s="190">
        <v>1400</v>
      </c>
      <c r="N26" s="195">
        <v>1400</v>
      </c>
      <c r="O26" s="190">
        <v>1400</v>
      </c>
      <c r="P26" s="191">
        <v>1400</v>
      </c>
      <c r="Q26" s="195">
        <v>1400</v>
      </c>
      <c r="R26" s="190">
        <v>1400</v>
      </c>
      <c r="S26" s="191">
        <v>1400</v>
      </c>
      <c r="T26" s="277">
        <v>1400</v>
      </c>
      <c r="U26" s="190">
        <v>1400</v>
      </c>
      <c r="V26" s="278">
        <v>1400</v>
      </c>
      <c r="W26" s="195">
        <v>1400</v>
      </c>
      <c r="X26" s="190">
        <v>1400</v>
      </c>
      <c r="Y26" s="278">
        <v>1400</v>
      </c>
      <c r="Z26" s="195">
        <v>1400</v>
      </c>
      <c r="AA26" s="190">
        <v>1400</v>
      </c>
      <c r="AB26" s="191">
        <v>1400</v>
      </c>
    </row>
    <row r="27" spans="2:28" ht="24" thickBot="1" x14ac:dyDescent="0.35">
      <c r="B27" s="283" t="s">
        <v>1235</v>
      </c>
      <c r="C27" s="284" t="s">
        <v>1236</v>
      </c>
      <c r="D27" s="272">
        <f t="shared" si="0"/>
        <v>19200</v>
      </c>
      <c r="E27" s="196">
        <v>800</v>
      </c>
      <c r="F27" s="197">
        <v>800</v>
      </c>
      <c r="G27" s="198">
        <v>800</v>
      </c>
      <c r="H27" s="285">
        <v>800</v>
      </c>
      <c r="I27" s="197">
        <v>800</v>
      </c>
      <c r="J27" s="286">
        <v>800</v>
      </c>
      <c r="K27" s="196">
        <v>800</v>
      </c>
      <c r="L27" s="197">
        <v>800</v>
      </c>
      <c r="M27" s="197">
        <v>800</v>
      </c>
      <c r="N27" s="196">
        <v>800</v>
      </c>
      <c r="O27" s="197">
        <v>800</v>
      </c>
      <c r="P27" s="198">
        <v>800</v>
      </c>
      <c r="Q27" s="196">
        <v>800</v>
      </c>
      <c r="R27" s="197">
        <v>800</v>
      </c>
      <c r="S27" s="198">
        <v>800</v>
      </c>
      <c r="T27" s="285">
        <v>800</v>
      </c>
      <c r="U27" s="197">
        <v>800</v>
      </c>
      <c r="V27" s="286">
        <v>800</v>
      </c>
      <c r="W27" s="195">
        <v>800</v>
      </c>
      <c r="X27" s="190">
        <v>800</v>
      </c>
      <c r="Y27" s="278">
        <v>800</v>
      </c>
      <c r="Z27" s="195">
        <v>800</v>
      </c>
      <c r="AA27" s="190">
        <v>800</v>
      </c>
      <c r="AB27" s="191">
        <v>800</v>
      </c>
    </row>
    <row r="28" spans="2:28" ht="24" thickBot="1" x14ac:dyDescent="0.35">
      <c r="B28" s="287"/>
      <c r="C28" s="174" t="s">
        <v>1237</v>
      </c>
      <c r="D28" s="288">
        <f>+SUM(D15:D27)</f>
        <v>886500</v>
      </c>
      <c r="E28" s="289">
        <f t="shared" ref="E28:AB28" si="1">+SUM(E15:E27)</f>
        <v>36750</v>
      </c>
      <c r="F28" s="290">
        <f t="shared" si="1"/>
        <v>36750</v>
      </c>
      <c r="G28" s="291">
        <f t="shared" si="1"/>
        <v>36750</v>
      </c>
      <c r="H28" s="292">
        <f t="shared" si="1"/>
        <v>36750</v>
      </c>
      <c r="I28" s="290">
        <f t="shared" si="1"/>
        <v>36750</v>
      </c>
      <c r="J28" s="290">
        <f t="shared" si="1"/>
        <v>36750</v>
      </c>
      <c r="K28" s="289">
        <f t="shared" si="1"/>
        <v>36750</v>
      </c>
      <c r="L28" s="290">
        <f t="shared" si="1"/>
        <v>36750</v>
      </c>
      <c r="M28" s="291">
        <f t="shared" si="1"/>
        <v>36750</v>
      </c>
      <c r="N28" s="289">
        <f t="shared" si="1"/>
        <v>37050</v>
      </c>
      <c r="O28" s="290">
        <f t="shared" si="1"/>
        <v>37050</v>
      </c>
      <c r="P28" s="291">
        <f t="shared" si="1"/>
        <v>37050</v>
      </c>
      <c r="Q28" s="289">
        <f t="shared" si="1"/>
        <v>37050</v>
      </c>
      <c r="R28" s="290">
        <f t="shared" si="1"/>
        <v>37050</v>
      </c>
      <c r="S28" s="291">
        <f t="shared" si="1"/>
        <v>37050</v>
      </c>
      <c r="T28" s="292">
        <f t="shared" si="1"/>
        <v>37050</v>
      </c>
      <c r="U28" s="290">
        <f t="shared" si="1"/>
        <v>37050</v>
      </c>
      <c r="V28" s="290">
        <f t="shared" si="1"/>
        <v>37050</v>
      </c>
      <c r="W28" s="289">
        <f t="shared" si="1"/>
        <v>37050</v>
      </c>
      <c r="X28" s="290">
        <f t="shared" si="1"/>
        <v>37050</v>
      </c>
      <c r="Y28" s="291">
        <f t="shared" si="1"/>
        <v>37050</v>
      </c>
      <c r="Z28" s="289">
        <f t="shared" si="1"/>
        <v>37050</v>
      </c>
      <c r="AA28" s="290">
        <f t="shared" si="1"/>
        <v>37050</v>
      </c>
      <c r="AB28" s="291">
        <f t="shared" si="1"/>
        <v>37050</v>
      </c>
    </row>
    <row r="29" spans="2:28" ht="24" thickBot="1" x14ac:dyDescent="0.35">
      <c r="B29" s="1202" t="s">
        <v>1238</v>
      </c>
      <c r="C29" s="1203"/>
      <c r="D29" s="1203"/>
      <c r="E29" s="1210"/>
      <c r="F29" s="1210"/>
      <c r="G29" s="1210"/>
      <c r="H29" s="1210"/>
      <c r="I29" s="1210"/>
      <c r="J29" s="1210"/>
      <c r="K29" s="1210"/>
      <c r="L29" s="1210"/>
      <c r="M29" s="1210"/>
      <c r="N29" s="1210"/>
      <c r="O29" s="1210"/>
      <c r="P29" s="1210"/>
      <c r="Q29" s="1203"/>
      <c r="R29" s="1203"/>
      <c r="S29" s="1203"/>
      <c r="T29" s="1203"/>
      <c r="U29" s="1203"/>
      <c r="V29" s="1203"/>
      <c r="W29" s="1203"/>
      <c r="X29" s="1203"/>
      <c r="Y29" s="1203"/>
      <c r="Z29" s="1203"/>
      <c r="AA29" s="1203"/>
      <c r="AB29" s="1204"/>
    </row>
    <row r="30" spans="2:28" ht="23.4" x14ac:dyDescent="0.3">
      <c r="B30" s="293" t="s">
        <v>1239</v>
      </c>
      <c r="C30" s="294" t="s">
        <v>1240</v>
      </c>
      <c r="D30" s="295">
        <f t="shared" ref="D30:D38" si="2">+SUM(E30:AB30)</f>
        <v>82200</v>
      </c>
      <c r="E30" s="296">
        <v>3200</v>
      </c>
      <c r="F30" s="297">
        <v>3200</v>
      </c>
      <c r="G30" s="298">
        <v>3200</v>
      </c>
      <c r="H30" s="296">
        <v>3200</v>
      </c>
      <c r="I30" s="297">
        <v>3200</v>
      </c>
      <c r="J30" s="298">
        <v>3200</v>
      </c>
      <c r="K30" s="296">
        <v>3500</v>
      </c>
      <c r="L30" s="297">
        <v>3500</v>
      </c>
      <c r="M30" s="298">
        <v>3500</v>
      </c>
      <c r="N30" s="296">
        <v>3500</v>
      </c>
      <c r="O30" s="297">
        <v>3500</v>
      </c>
      <c r="P30" s="298">
        <v>3500</v>
      </c>
      <c r="Q30" s="296">
        <v>3500</v>
      </c>
      <c r="R30" s="297">
        <v>3500</v>
      </c>
      <c r="S30" s="298">
        <v>3500</v>
      </c>
      <c r="T30" s="296">
        <v>3500</v>
      </c>
      <c r="U30" s="297">
        <v>3500</v>
      </c>
      <c r="V30" s="298">
        <v>3500</v>
      </c>
      <c r="W30" s="195">
        <v>3500</v>
      </c>
      <c r="X30" s="190">
        <v>3500</v>
      </c>
      <c r="Y30" s="278">
        <v>3500</v>
      </c>
      <c r="Z30" s="195">
        <v>3500</v>
      </c>
      <c r="AA30" s="190">
        <v>3500</v>
      </c>
      <c r="AB30" s="191">
        <v>3500</v>
      </c>
    </row>
    <row r="31" spans="2:28" ht="24" thickBot="1" x14ac:dyDescent="0.35">
      <c r="B31" s="299" t="s">
        <v>1241</v>
      </c>
      <c r="C31" s="449" t="s">
        <v>1242</v>
      </c>
      <c r="D31" s="370">
        <f t="shared" si="2"/>
        <v>72600</v>
      </c>
      <c r="E31" s="371">
        <v>2800</v>
      </c>
      <c r="F31" s="372">
        <v>2800</v>
      </c>
      <c r="G31" s="373">
        <v>2800</v>
      </c>
      <c r="H31" s="371">
        <v>2800</v>
      </c>
      <c r="I31" s="372">
        <v>2800</v>
      </c>
      <c r="J31" s="373">
        <v>2800</v>
      </c>
      <c r="K31" s="371">
        <v>3100</v>
      </c>
      <c r="L31" s="372">
        <v>3100</v>
      </c>
      <c r="M31" s="373">
        <v>3100</v>
      </c>
      <c r="N31" s="371">
        <v>3100</v>
      </c>
      <c r="O31" s="372">
        <v>3100</v>
      </c>
      <c r="P31" s="373">
        <v>3100</v>
      </c>
      <c r="Q31" s="371">
        <v>3100</v>
      </c>
      <c r="R31" s="372">
        <v>3100</v>
      </c>
      <c r="S31" s="373">
        <v>3100</v>
      </c>
      <c r="T31" s="371">
        <v>3100</v>
      </c>
      <c r="U31" s="372">
        <v>3100</v>
      </c>
      <c r="V31" s="373">
        <v>3100</v>
      </c>
      <c r="W31" s="374">
        <v>3100</v>
      </c>
      <c r="X31" s="375">
        <v>3100</v>
      </c>
      <c r="Y31" s="376">
        <v>3100</v>
      </c>
      <c r="Z31" s="374">
        <v>3100</v>
      </c>
      <c r="AA31" s="375">
        <v>3100</v>
      </c>
      <c r="AB31" s="377">
        <v>3100</v>
      </c>
    </row>
    <row r="32" spans="2:28" ht="24" thickBot="1" x14ac:dyDescent="0.35">
      <c r="B32" s="294"/>
      <c r="C32" s="301" t="s">
        <v>1237</v>
      </c>
      <c r="D32" s="454">
        <f t="shared" si="2"/>
        <v>115200</v>
      </c>
      <c r="E32" s="455">
        <f t="shared" ref="E32:V32" si="3">+SUM(E30:E31)</f>
        <v>6000</v>
      </c>
      <c r="F32" s="456">
        <f t="shared" si="3"/>
        <v>6000</v>
      </c>
      <c r="G32" s="457">
        <f t="shared" si="3"/>
        <v>6000</v>
      </c>
      <c r="H32" s="455">
        <f t="shared" si="3"/>
        <v>6000</v>
      </c>
      <c r="I32" s="456">
        <f t="shared" si="3"/>
        <v>6000</v>
      </c>
      <c r="J32" s="457">
        <f t="shared" si="3"/>
        <v>6000</v>
      </c>
      <c r="K32" s="455">
        <f t="shared" si="3"/>
        <v>6600</v>
      </c>
      <c r="L32" s="456">
        <f t="shared" si="3"/>
        <v>6600</v>
      </c>
      <c r="M32" s="457">
        <f t="shared" si="3"/>
        <v>6600</v>
      </c>
      <c r="N32" s="455">
        <f t="shared" si="3"/>
        <v>6600</v>
      </c>
      <c r="O32" s="456">
        <f t="shared" si="3"/>
        <v>6600</v>
      </c>
      <c r="P32" s="457">
        <f t="shared" si="3"/>
        <v>6600</v>
      </c>
      <c r="Q32" s="455">
        <f t="shared" si="3"/>
        <v>6600</v>
      </c>
      <c r="R32" s="456">
        <f t="shared" si="3"/>
        <v>6600</v>
      </c>
      <c r="S32" s="457">
        <f t="shared" si="3"/>
        <v>6600</v>
      </c>
      <c r="T32" s="455">
        <f t="shared" si="3"/>
        <v>6600</v>
      </c>
      <c r="U32" s="456">
        <f t="shared" si="3"/>
        <v>6600</v>
      </c>
      <c r="V32" s="457">
        <f t="shared" si="3"/>
        <v>6600</v>
      </c>
      <c r="W32" s="455"/>
      <c r="X32" s="456"/>
      <c r="Y32" s="457"/>
      <c r="Z32" s="455"/>
      <c r="AA32" s="456"/>
      <c r="AB32" s="457"/>
    </row>
    <row r="33" spans="2:28" ht="23.4" x14ac:dyDescent="0.3">
      <c r="B33" s="302" t="s">
        <v>1243</v>
      </c>
      <c r="C33" s="294" t="s">
        <v>1244</v>
      </c>
      <c r="D33" s="450">
        <f t="shared" si="2"/>
        <v>100800</v>
      </c>
      <c r="E33" s="451">
        <v>3200</v>
      </c>
      <c r="F33" s="452">
        <v>3200</v>
      </c>
      <c r="G33" s="453">
        <v>3200</v>
      </c>
      <c r="H33" s="451">
        <v>3200</v>
      </c>
      <c r="I33" s="452">
        <v>3200</v>
      </c>
      <c r="J33" s="453">
        <v>3200</v>
      </c>
      <c r="K33" s="451">
        <v>3500</v>
      </c>
      <c r="L33" s="452">
        <v>3500</v>
      </c>
      <c r="M33" s="453">
        <v>3500</v>
      </c>
      <c r="N33" s="451">
        <v>3500</v>
      </c>
      <c r="O33" s="452">
        <v>3500</v>
      </c>
      <c r="P33" s="453">
        <v>3500</v>
      </c>
      <c r="Q33" s="451">
        <v>3500</v>
      </c>
      <c r="R33" s="452">
        <v>3500</v>
      </c>
      <c r="S33" s="453">
        <v>3500</v>
      </c>
      <c r="T33" s="451">
        <v>3500</v>
      </c>
      <c r="U33" s="452">
        <v>3500</v>
      </c>
      <c r="V33" s="453">
        <v>3500</v>
      </c>
      <c r="W33" s="199">
        <v>6600</v>
      </c>
      <c r="X33" s="188">
        <v>6600</v>
      </c>
      <c r="Y33" s="274">
        <v>6600</v>
      </c>
      <c r="Z33" s="199">
        <v>6600</v>
      </c>
      <c r="AA33" s="188">
        <v>6600</v>
      </c>
      <c r="AB33" s="189">
        <v>6600</v>
      </c>
    </row>
    <row r="34" spans="2:28" ht="24" thickBot="1" x14ac:dyDescent="0.35">
      <c r="B34" s="299" t="s">
        <v>1245</v>
      </c>
      <c r="C34" s="449" t="s">
        <v>1246</v>
      </c>
      <c r="D34" s="458">
        <f t="shared" si="2"/>
        <v>75000</v>
      </c>
      <c r="E34" s="371">
        <v>2800</v>
      </c>
      <c r="F34" s="372">
        <v>2800</v>
      </c>
      <c r="G34" s="373">
        <v>2800</v>
      </c>
      <c r="H34" s="371">
        <v>2800</v>
      </c>
      <c r="I34" s="372">
        <v>2800</v>
      </c>
      <c r="J34" s="373">
        <v>2800</v>
      </c>
      <c r="K34" s="371">
        <v>3100</v>
      </c>
      <c r="L34" s="372">
        <v>3100</v>
      </c>
      <c r="M34" s="373">
        <v>3100</v>
      </c>
      <c r="N34" s="371">
        <v>3100</v>
      </c>
      <c r="O34" s="372">
        <v>3100</v>
      </c>
      <c r="P34" s="373">
        <v>3100</v>
      </c>
      <c r="Q34" s="371">
        <v>3100</v>
      </c>
      <c r="R34" s="372">
        <v>3100</v>
      </c>
      <c r="S34" s="373">
        <v>3100</v>
      </c>
      <c r="T34" s="371">
        <v>3100</v>
      </c>
      <c r="U34" s="372">
        <v>3100</v>
      </c>
      <c r="V34" s="373">
        <v>3100</v>
      </c>
      <c r="W34" s="374">
        <v>3500</v>
      </c>
      <c r="X34" s="375">
        <v>3500</v>
      </c>
      <c r="Y34" s="376">
        <v>3500</v>
      </c>
      <c r="Z34" s="374">
        <v>3500</v>
      </c>
      <c r="AA34" s="375">
        <v>3500</v>
      </c>
      <c r="AB34" s="377">
        <v>3500</v>
      </c>
    </row>
    <row r="35" spans="2:28" ht="24" thickBot="1" x14ac:dyDescent="0.35">
      <c r="B35" s="279"/>
      <c r="C35" s="301" t="s">
        <v>1237</v>
      </c>
      <c r="D35" s="454">
        <f t="shared" si="2"/>
        <v>118300</v>
      </c>
      <c r="E35" s="455">
        <f t="shared" ref="E35:V35" si="4">+SUM(E33:E34)</f>
        <v>6000</v>
      </c>
      <c r="F35" s="456">
        <f t="shared" si="4"/>
        <v>6000</v>
      </c>
      <c r="G35" s="457">
        <f t="shared" si="4"/>
        <v>6000</v>
      </c>
      <c r="H35" s="455">
        <f t="shared" si="4"/>
        <v>6000</v>
      </c>
      <c r="I35" s="456">
        <f t="shared" si="4"/>
        <v>6000</v>
      </c>
      <c r="J35" s="457">
        <f t="shared" si="4"/>
        <v>6000</v>
      </c>
      <c r="K35" s="455">
        <f t="shared" si="4"/>
        <v>6600</v>
      </c>
      <c r="L35" s="456">
        <f t="shared" si="4"/>
        <v>6600</v>
      </c>
      <c r="M35" s="457">
        <f t="shared" si="4"/>
        <v>6600</v>
      </c>
      <c r="N35" s="455">
        <f t="shared" si="4"/>
        <v>6600</v>
      </c>
      <c r="O35" s="456">
        <f t="shared" si="4"/>
        <v>6600</v>
      </c>
      <c r="P35" s="457">
        <f t="shared" si="4"/>
        <v>6600</v>
      </c>
      <c r="Q35" s="455">
        <f t="shared" si="4"/>
        <v>6600</v>
      </c>
      <c r="R35" s="456">
        <f t="shared" si="4"/>
        <v>6600</v>
      </c>
      <c r="S35" s="457">
        <f t="shared" si="4"/>
        <v>6600</v>
      </c>
      <c r="T35" s="455">
        <f t="shared" si="4"/>
        <v>6600</v>
      </c>
      <c r="U35" s="456">
        <f t="shared" si="4"/>
        <v>6600</v>
      </c>
      <c r="V35" s="457">
        <f t="shared" si="4"/>
        <v>6600</v>
      </c>
      <c r="W35" s="455">
        <v>3100</v>
      </c>
      <c r="X35" s="456"/>
      <c r="Y35" s="457"/>
      <c r="Z35" s="455"/>
      <c r="AA35" s="456"/>
      <c r="AB35" s="457"/>
    </row>
    <row r="36" spans="2:28" ht="24" thickBot="1" x14ac:dyDescent="0.35">
      <c r="B36" s="302" t="s">
        <v>1247</v>
      </c>
      <c r="C36" s="294" t="s">
        <v>1248</v>
      </c>
      <c r="D36" s="450">
        <f t="shared" si="2"/>
        <v>82200</v>
      </c>
      <c r="E36" s="451">
        <v>3200</v>
      </c>
      <c r="F36" s="452">
        <v>3200</v>
      </c>
      <c r="G36" s="453">
        <v>3200</v>
      </c>
      <c r="H36" s="451">
        <v>3200</v>
      </c>
      <c r="I36" s="452">
        <v>3200</v>
      </c>
      <c r="J36" s="453">
        <v>3200</v>
      </c>
      <c r="K36" s="451">
        <v>3500</v>
      </c>
      <c r="L36" s="452">
        <v>3500</v>
      </c>
      <c r="M36" s="453">
        <v>3500</v>
      </c>
      <c r="N36" s="451">
        <v>3500</v>
      </c>
      <c r="O36" s="452">
        <v>3500</v>
      </c>
      <c r="P36" s="453">
        <v>3500</v>
      </c>
      <c r="Q36" s="451">
        <v>3500</v>
      </c>
      <c r="R36" s="452">
        <v>3500</v>
      </c>
      <c r="S36" s="453">
        <v>3500</v>
      </c>
      <c r="T36" s="451">
        <v>3500</v>
      </c>
      <c r="U36" s="452">
        <v>3500</v>
      </c>
      <c r="V36" s="453">
        <v>3500</v>
      </c>
      <c r="W36" s="199">
        <v>3500</v>
      </c>
      <c r="X36" s="188">
        <v>3500</v>
      </c>
      <c r="Y36" s="274">
        <v>3500</v>
      </c>
      <c r="Z36" s="199">
        <v>3500</v>
      </c>
      <c r="AA36" s="188">
        <v>3500</v>
      </c>
      <c r="AB36" s="189">
        <v>3500</v>
      </c>
    </row>
    <row r="37" spans="2:28" ht="24" thickBot="1" x14ac:dyDescent="0.35">
      <c r="B37" s="369"/>
      <c r="C37" s="369" t="s">
        <v>1249</v>
      </c>
      <c r="D37" s="370">
        <f>+SUM(E37:AB37)</f>
        <v>80400</v>
      </c>
      <c r="E37" s="371">
        <v>3200</v>
      </c>
      <c r="F37" s="372">
        <v>3200</v>
      </c>
      <c r="G37" s="373">
        <v>3200</v>
      </c>
      <c r="H37" s="371">
        <v>3200</v>
      </c>
      <c r="I37" s="372">
        <v>3200</v>
      </c>
      <c r="J37" s="373">
        <v>3200</v>
      </c>
      <c r="K37" s="371">
        <v>3200</v>
      </c>
      <c r="L37" s="372">
        <v>3200</v>
      </c>
      <c r="M37" s="373">
        <v>3200</v>
      </c>
      <c r="N37" s="371">
        <v>3200</v>
      </c>
      <c r="O37" s="372">
        <v>3200</v>
      </c>
      <c r="P37" s="373">
        <v>3200</v>
      </c>
      <c r="Q37" s="371">
        <v>3500</v>
      </c>
      <c r="R37" s="372">
        <v>3500</v>
      </c>
      <c r="S37" s="373">
        <v>3500</v>
      </c>
      <c r="T37" s="371">
        <v>3500</v>
      </c>
      <c r="U37" s="372">
        <v>3500</v>
      </c>
      <c r="V37" s="373">
        <v>3500</v>
      </c>
      <c r="W37" s="374">
        <v>3500</v>
      </c>
      <c r="X37" s="375">
        <v>3500</v>
      </c>
      <c r="Y37" s="376">
        <v>3500</v>
      </c>
      <c r="Z37" s="374">
        <v>3500</v>
      </c>
      <c r="AA37" s="375">
        <v>3500</v>
      </c>
      <c r="AB37" s="377">
        <v>3500</v>
      </c>
    </row>
    <row r="38" spans="2:28" ht="23.4" customHeight="1" thickBot="1" x14ac:dyDescent="0.35">
      <c r="B38" s="1211"/>
      <c r="C38" s="301" t="s">
        <v>1237</v>
      </c>
      <c r="D38" s="454">
        <f t="shared" si="2"/>
        <v>162600</v>
      </c>
      <c r="E38" s="455">
        <f t="shared" ref="E38:F38" si="5">+SUM(E36:E37)</f>
        <v>6400</v>
      </c>
      <c r="F38" s="456">
        <f t="shared" si="5"/>
        <v>6400</v>
      </c>
      <c r="G38" s="457">
        <f>+SUM(G36:G37)</f>
        <v>6400</v>
      </c>
      <c r="H38" s="455">
        <f t="shared" ref="H38:AB38" si="6">+SUM(H36:H37)</f>
        <v>6400</v>
      </c>
      <c r="I38" s="456">
        <f t="shared" si="6"/>
        <v>6400</v>
      </c>
      <c r="J38" s="457">
        <f t="shared" si="6"/>
        <v>6400</v>
      </c>
      <c r="K38" s="455">
        <f t="shared" si="6"/>
        <v>6700</v>
      </c>
      <c r="L38" s="456">
        <f t="shared" si="6"/>
        <v>6700</v>
      </c>
      <c r="M38" s="457">
        <f t="shared" si="6"/>
        <v>6700</v>
      </c>
      <c r="N38" s="455">
        <f t="shared" si="6"/>
        <v>6700</v>
      </c>
      <c r="O38" s="456">
        <f t="shared" si="6"/>
        <v>6700</v>
      </c>
      <c r="P38" s="457">
        <f t="shared" si="6"/>
        <v>6700</v>
      </c>
      <c r="Q38" s="455">
        <f t="shared" si="6"/>
        <v>7000</v>
      </c>
      <c r="R38" s="456">
        <f t="shared" si="6"/>
        <v>7000</v>
      </c>
      <c r="S38" s="457">
        <f t="shared" si="6"/>
        <v>7000</v>
      </c>
      <c r="T38" s="455">
        <f t="shared" si="6"/>
        <v>7000</v>
      </c>
      <c r="U38" s="456">
        <f t="shared" si="6"/>
        <v>7000</v>
      </c>
      <c r="V38" s="457">
        <f t="shared" si="6"/>
        <v>7000</v>
      </c>
      <c r="W38" s="455">
        <f t="shared" si="6"/>
        <v>7000</v>
      </c>
      <c r="X38" s="456">
        <f t="shared" si="6"/>
        <v>7000</v>
      </c>
      <c r="Y38" s="457">
        <f t="shared" si="6"/>
        <v>7000</v>
      </c>
      <c r="Z38" s="455">
        <f t="shared" si="6"/>
        <v>7000</v>
      </c>
      <c r="AA38" s="456">
        <f t="shared" si="6"/>
        <v>7000</v>
      </c>
      <c r="AB38" s="457">
        <f t="shared" si="6"/>
        <v>7000</v>
      </c>
    </row>
    <row r="39" spans="2:28" ht="33.6" customHeight="1" thickBot="1" x14ac:dyDescent="0.35">
      <c r="B39" s="1212"/>
      <c r="C39" s="175" t="s">
        <v>1237</v>
      </c>
      <c r="D39" s="303">
        <f>+SUM(D32,D35,D38)</f>
        <v>396100</v>
      </c>
      <c r="E39" s="304">
        <f t="shared" ref="E39:AB39" si="7">+SUM(E32,E35,E38)</f>
        <v>18400</v>
      </c>
      <c r="F39" s="305">
        <f t="shared" si="7"/>
        <v>18400</v>
      </c>
      <c r="G39" s="291">
        <f t="shared" si="7"/>
        <v>18400</v>
      </c>
      <c r="H39" s="306">
        <f t="shared" si="7"/>
        <v>18400</v>
      </c>
      <c r="I39" s="305">
        <f t="shared" si="7"/>
        <v>18400</v>
      </c>
      <c r="J39" s="291">
        <f t="shared" si="7"/>
        <v>18400</v>
      </c>
      <c r="K39" s="306">
        <f t="shared" si="7"/>
        <v>19900</v>
      </c>
      <c r="L39" s="305">
        <f t="shared" si="7"/>
        <v>19900</v>
      </c>
      <c r="M39" s="291">
        <f t="shared" si="7"/>
        <v>19900</v>
      </c>
      <c r="N39" s="306">
        <f t="shared" si="7"/>
        <v>19900</v>
      </c>
      <c r="O39" s="305">
        <f t="shared" si="7"/>
        <v>19900</v>
      </c>
      <c r="P39" s="291">
        <f t="shared" si="7"/>
        <v>19900</v>
      </c>
      <c r="Q39" s="307">
        <f t="shared" si="7"/>
        <v>20200</v>
      </c>
      <c r="R39" s="308">
        <f t="shared" si="7"/>
        <v>20200</v>
      </c>
      <c r="S39" s="309">
        <f t="shared" si="7"/>
        <v>20200</v>
      </c>
      <c r="T39" s="310">
        <f t="shared" si="7"/>
        <v>20200</v>
      </c>
      <c r="U39" s="308">
        <f t="shared" si="7"/>
        <v>20200</v>
      </c>
      <c r="V39" s="309">
        <f t="shared" si="7"/>
        <v>20200</v>
      </c>
      <c r="W39" s="310">
        <f t="shared" si="7"/>
        <v>10100</v>
      </c>
      <c r="X39" s="308">
        <f t="shared" si="7"/>
        <v>7000</v>
      </c>
      <c r="Y39" s="309">
        <f t="shared" si="7"/>
        <v>7000</v>
      </c>
      <c r="Z39" s="310">
        <f t="shared" si="7"/>
        <v>7000</v>
      </c>
      <c r="AA39" s="308">
        <f t="shared" si="7"/>
        <v>7000</v>
      </c>
      <c r="AB39" s="309">
        <f t="shared" si="7"/>
        <v>7000</v>
      </c>
    </row>
    <row r="40" spans="2:28" ht="24" thickBot="1" x14ac:dyDescent="0.35">
      <c r="B40" s="1202" t="s">
        <v>1250</v>
      </c>
      <c r="C40" s="1203"/>
      <c r="D40" s="1203"/>
      <c r="E40" s="1210"/>
      <c r="F40" s="1210"/>
      <c r="G40" s="1210"/>
      <c r="H40" s="1203"/>
      <c r="I40" s="1203"/>
      <c r="J40" s="1203"/>
      <c r="K40" s="1210"/>
      <c r="L40" s="1210"/>
      <c r="M40" s="1210"/>
      <c r="N40" s="1203"/>
      <c r="O40" s="1203"/>
      <c r="P40" s="1203"/>
      <c r="Q40" s="1202"/>
      <c r="R40" s="1203"/>
      <c r="S40" s="1203"/>
      <c r="T40" s="1203"/>
      <c r="U40" s="1203"/>
      <c r="V40" s="1203"/>
      <c r="W40" s="1203"/>
      <c r="X40" s="1203"/>
      <c r="Y40" s="1203"/>
      <c r="Z40" s="1203"/>
      <c r="AA40" s="1203"/>
      <c r="AB40" s="1204"/>
    </row>
    <row r="41" spans="2:28" ht="24" thickBot="1" x14ac:dyDescent="0.35">
      <c r="B41" s="311" t="s">
        <v>1251</v>
      </c>
      <c r="C41" s="312" t="s">
        <v>1252</v>
      </c>
      <c r="D41" s="300">
        <f>+SUM(E41:AB41)</f>
        <v>82200</v>
      </c>
      <c r="E41" s="313">
        <v>3200</v>
      </c>
      <c r="F41" s="314">
        <v>3200</v>
      </c>
      <c r="G41" s="315">
        <v>3200</v>
      </c>
      <c r="H41" s="313">
        <v>3200</v>
      </c>
      <c r="I41" s="314">
        <v>3200</v>
      </c>
      <c r="J41" s="316">
        <v>3200</v>
      </c>
      <c r="K41" s="313">
        <v>3500</v>
      </c>
      <c r="L41" s="314">
        <v>3500</v>
      </c>
      <c r="M41" s="315">
        <v>3500</v>
      </c>
      <c r="N41" s="313">
        <v>3500</v>
      </c>
      <c r="O41" s="314">
        <v>3500</v>
      </c>
      <c r="P41" s="315">
        <v>3500</v>
      </c>
      <c r="Q41" s="313">
        <v>3500</v>
      </c>
      <c r="R41" s="314">
        <v>3500</v>
      </c>
      <c r="S41" s="315">
        <v>3500</v>
      </c>
      <c r="T41" s="313">
        <v>3500</v>
      </c>
      <c r="U41" s="314">
        <v>3500</v>
      </c>
      <c r="V41" s="315">
        <v>3500</v>
      </c>
      <c r="W41" s="195">
        <v>3500</v>
      </c>
      <c r="X41" s="190">
        <v>3500</v>
      </c>
      <c r="Y41" s="278">
        <v>3500</v>
      </c>
      <c r="Z41" s="195">
        <v>3500</v>
      </c>
      <c r="AA41" s="190">
        <v>3500</v>
      </c>
      <c r="AB41" s="191">
        <v>3500</v>
      </c>
    </row>
    <row r="42" spans="2:28" ht="24" thickBot="1" x14ac:dyDescent="0.35">
      <c r="B42" s="317"/>
      <c r="C42" s="176" t="s">
        <v>1237</v>
      </c>
      <c r="D42" s="292">
        <f>+D41</f>
        <v>82200</v>
      </c>
      <c r="E42" s="289">
        <f t="shared" ref="E42:AB42" si="8">+E41</f>
        <v>3200</v>
      </c>
      <c r="F42" s="290">
        <f t="shared" si="8"/>
        <v>3200</v>
      </c>
      <c r="G42" s="291">
        <f t="shared" si="8"/>
        <v>3200</v>
      </c>
      <c r="H42" s="292">
        <f t="shared" si="8"/>
        <v>3200</v>
      </c>
      <c r="I42" s="290">
        <f t="shared" si="8"/>
        <v>3200</v>
      </c>
      <c r="J42" s="290">
        <f t="shared" si="8"/>
        <v>3200</v>
      </c>
      <c r="K42" s="289">
        <f t="shared" si="8"/>
        <v>3500</v>
      </c>
      <c r="L42" s="290">
        <f t="shared" si="8"/>
        <v>3500</v>
      </c>
      <c r="M42" s="291">
        <f t="shared" si="8"/>
        <v>3500</v>
      </c>
      <c r="N42" s="289">
        <f t="shared" si="8"/>
        <v>3500</v>
      </c>
      <c r="O42" s="290">
        <f t="shared" si="8"/>
        <v>3500</v>
      </c>
      <c r="P42" s="291">
        <f t="shared" si="8"/>
        <v>3500</v>
      </c>
      <c r="Q42" s="289">
        <f t="shared" si="8"/>
        <v>3500</v>
      </c>
      <c r="R42" s="290">
        <f t="shared" si="8"/>
        <v>3500</v>
      </c>
      <c r="S42" s="291">
        <f t="shared" si="8"/>
        <v>3500</v>
      </c>
      <c r="T42" s="292">
        <f t="shared" si="8"/>
        <v>3500</v>
      </c>
      <c r="U42" s="290">
        <f t="shared" si="8"/>
        <v>3500</v>
      </c>
      <c r="V42" s="290">
        <f t="shared" si="8"/>
        <v>3500</v>
      </c>
      <c r="W42" s="289">
        <f t="shared" si="8"/>
        <v>3500</v>
      </c>
      <c r="X42" s="290">
        <f t="shared" si="8"/>
        <v>3500</v>
      </c>
      <c r="Y42" s="291">
        <f t="shared" si="8"/>
        <v>3500</v>
      </c>
      <c r="Z42" s="289">
        <f t="shared" si="8"/>
        <v>3500</v>
      </c>
      <c r="AA42" s="290">
        <f t="shared" si="8"/>
        <v>3500</v>
      </c>
      <c r="AB42" s="291">
        <f t="shared" si="8"/>
        <v>3500</v>
      </c>
    </row>
    <row r="43" spans="2:28" ht="23.4" customHeight="1" thickBot="1" x14ac:dyDescent="0.35">
      <c r="B43" s="317"/>
      <c r="C43" s="177" t="s">
        <v>1253</v>
      </c>
      <c r="D43" s="318">
        <f>+SUM(D42,D39,D28)</f>
        <v>1364800</v>
      </c>
      <c r="E43" s="319">
        <f>+E42+E39+E28</f>
        <v>58350</v>
      </c>
      <c r="F43" s="320">
        <f t="shared" ref="F43:H43" si="9">+F42+F39+F28</f>
        <v>58350</v>
      </c>
      <c r="G43" s="321">
        <f t="shared" si="9"/>
        <v>58350</v>
      </c>
      <c r="H43" s="322">
        <f t="shared" si="9"/>
        <v>58350</v>
      </c>
      <c r="I43" s="320">
        <f t="shared" ref="I43" si="10">+I42+I39+I28</f>
        <v>58350</v>
      </c>
      <c r="J43" s="320">
        <f t="shared" ref="J43:K43" si="11">+J42+J39+J28</f>
        <v>58350</v>
      </c>
      <c r="K43" s="319">
        <f t="shared" si="11"/>
        <v>60150</v>
      </c>
      <c r="L43" s="320">
        <f t="shared" ref="L43" si="12">+L42+L39+L28</f>
        <v>60150</v>
      </c>
      <c r="M43" s="321">
        <f t="shared" ref="M43:N43" si="13">+M42+M39+M28</f>
        <v>60150</v>
      </c>
      <c r="N43" s="319">
        <f t="shared" si="13"/>
        <v>60450</v>
      </c>
      <c r="O43" s="320">
        <f t="shared" ref="O43" si="14">+O42+O39+O28</f>
        <v>60450</v>
      </c>
      <c r="P43" s="321">
        <f t="shared" ref="P43:Q43" si="15">+P42+P39+P28</f>
        <v>60450</v>
      </c>
      <c r="Q43" s="319">
        <f t="shared" si="15"/>
        <v>60750</v>
      </c>
      <c r="R43" s="320">
        <f t="shared" ref="R43" si="16">+R42+R39+R28</f>
        <v>60750</v>
      </c>
      <c r="S43" s="321">
        <f t="shared" ref="S43:T43" si="17">+S42+S39+S28</f>
        <v>60750</v>
      </c>
      <c r="T43" s="322">
        <f t="shared" si="17"/>
        <v>60750</v>
      </c>
      <c r="U43" s="320">
        <f t="shared" ref="U43" si="18">+U42+U39+U28</f>
        <v>60750</v>
      </c>
      <c r="V43" s="320">
        <f t="shared" ref="V43:W43" si="19">+V42+V39+V28</f>
        <v>60750</v>
      </c>
      <c r="W43" s="319">
        <f t="shared" si="19"/>
        <v>50650</v>
      </c>
      <c r="X43" s="320">
        <f t="shared" ref="X43" si="20">+X42+X39+X28</f>
        <v>47550</v>
      </c>
      <c r="Y43" s="321">
        <f t="shared" ref="Y43:Z43" si="21">+Y42+Y39+Y28</f>
        <v>47550</v>
      </c>
      <c r="Z43" s="319">
        <f t="shared" si="21"/>
        <v>47550</v>
      </c>
      <c r="AA43" s="320">
        <f t="shared" ref="AA43" si="22">+AA42+AA39+AA28</f>
        <v>47550</v>
      </c>
      <c r="AB43" s="321">
        <f t="shared" ref="AB43" si="23">+AB42+AB39+AB28</f>
        <v>47550</v>
      </c>
    </row>
    <row r="44" spans="2:28" ht="23.4" customHeight="1" thickBot="1" x14ac:dyDescent="0.35">
      <c r="B44" s="323"/>
      <c r="C44" s="706"/>
      <c r="D44" s="178" t="s">
        <v>1254</v>
      </c>
      <c r="E44" s="1207">
        <f>+SUM(E43:G43)</f>
        <v>175050</v>
      </c>
      <c r="F44" s="1208"/>
      <c r="G44" s="1209"/>
      <c r="H44" s="1207">
        <f t="shared" ref="H44" si="24">+SUM(H43:J43)</f>
        <v>175050</v>
      </c>
      <c r="I44" s="1208"/>
      <c r="J44" s="1209"/>
      <c r="K44" s="1207">
        <f t="shared" ref="K44" si="25">+SUM(K43:M43)</f>
        <v>180450</v>
      </c>
      <c r="L44" s="1208"/>
      <c r="M44" s="1209"/>
      <c r="N44" s="1207">
        <f t="shared" ref="N44" si="26">+SUM(N43:P43)</f>
        <v>181350</v>
      </c>
      <c r="O44" s="1208"/>
      <c r="P44" s="1209"/>
      <c r="Q44" s="1207">
        <f>+SUM(Q43:R43)</f>
        <v>121500</v>
      </c>
      <c r="R44" s="1208"/>
      <c r="S44" s="1209"/>
      <c r="T44" s="1207">
        <f>+SUM(S43:U43)</f>
        <v>182250</v>
      </c>
      <c r="U44" s="1208"/>
      <c r="V44" s="1209"/>
      <c r="W44" s="1207">
        <f>+SUM(V43:X43)</f>
        <v>158950</v>
      </c>
      <c r="X44" s="1208"/>
      <c r="Y44" s="1209"/>
      <c r="Z44" s="1207">
        <f>+SUM(Y43:AA43)</f>
        <v>142650</v>
      </c>
      <c r="AA44" s="1208"/>
      <c r="AB44" s="1209"/>
    </row>
    <row r="45" spans="2:28" ht="23.4" customHeight="1" thickBot="1" x14ac:dyDescent="0.35">
      <c r="B45" s="323"/>
      <c r="C45" s="706"/>
      <c r="D45" s="179" t="s">
        <v>1255</v>
      </c>
      <c r="E45" s="1199">
        <f>+SUM(E44:J44)</f>
        <v>350100</v>
      </c>
      <c r="F45" s="1200"/>
      <c r="G45" s="1200"/>
      <c r="H45" s="1200"/>
      <c r="I45" s="1200"/>
      <c r="J45" s="1201"/>
      <c r="K45" s="1199">
        <f t="shared" ref="K45" si="27">+SUM(K44:P44)</f>
        <v>361800</v>
      </c>
      <c r="L45" s="1200"/>
      <c r="M45" s="1200"/>
      <c r="N45" s="1200"/>
      <c r="O45" s="1200"/>
      <c r="P45" s="1201"/>
      <c r="Q45" s="1199">
        <f t="shared" ref="Q45" si="28">+SUM(Q44:V44)</f>
        <v>303750</v>
      </c>
      <c r="R45" s="1200"/>
      <c r="S45" s="1200"/>
      <c r="T45" s="1200"/>
      <c r="U45" s="1200"/>
      <c r="V45" s="1201"/>
      <c r="W45" s="1199">
        <f t="shared" ref="W45" si="29">+SUM(W44:AB44)</f>
        <v>301600</v>
      </c>
      <c r="X45" s="1200"/>
      <c r="Y45" s="1200"/>
      <c r="Z45" s="1200"/>
      <c r="AA45" s="1200"/>
      <c r="AB45" s="1201"/>
    </row>
    <row r="46" spans="2:28" ht="23.4" customHeight="1" thickBot="1" x14ac:dyDescent="0.35">
      <c r="B46" s="323"/>
      <c r="C46" s="706"/>
      <c r="D46" s="187" t="s">
        <v>1256</v>
      </c>
      <c r="E46" s="1199">
        <f>+E45+K45</f>
        <v>711900</v>
      </c>
      <c r="F46" s="1200"/>
      <c r="G46" s="1200"/>
      <c r="H46" s="1200"/>
      <c r="I46" s="1200"/>
      <c r="J46" s="1200"/>
      <c r="K46" s="1200"/>
      <c r="L46" s="1200"/>
      <c r="M46" s="1200"/>
      <c r="N46" s="1200"/>
      <c r="O46" s="1200"/>
      <c r="P46" s="1200"/>
      <c r="Q46" s="1199">
        <f>+Q45+W45</f>
        <v>605350</v>
      </c>
      <c r="R46" s="1200"/>
      <c r="S46" s="1200"/>
      <c r="T46" s="1200"/>
      <c r="U46" s="1200"/>
      <c r="V46" s="1200"/>
      <c r="W46" s="1200"/>
      <c r="X46" s="1200"/>
      <c r="Y46" s="1200"/>
      <c r="Z46" s="1200"/>
      <c r="AA46" s="1200"/>
      <c r="AB46" s="1201"/>
    </row>
    <row r="47" spans="2:28" ht="23.4" customHeight="1" thickBot="1" x14ac:dyDescent="0.35">
      <c r="B47" s="324"/>
      <c r="C47" s="325"/>
      <c r="D47" s="187" t="s">
        <v>1257</v>
      </c>
      <c r="E47" s="1199">
        <f>+E46+Q46</f>
        <v>1317250</v>
      </c>
      <c r="F47" s="1200"/>
      <c r="G47" s="1200"/>
      <c r="H47" s="1200"/>
      <c r="I47" s="1200"/>
      <c r="J47" s="1200"/>
      <c r="K47" s="1200"/>
      <c r="L47" s="1200"/>
      <c r="M47" s="1200"/>
      <c r="N47" s="1200"/>
      <c r="O47" s="1200"/>
      <c r="P47" s="1200"/>
      <c r="Q47" s="1200"/>
      <c r="R47" s="1200"/>
      <c r="S47" s="1200"/>
      <c r="T47" s="1200"/>
      <c r="U47" s="1200"/>
      <c r="V47" s="1200"/>
      <c r="W47" s="1200"/>
      <c r="X47" s="1200"/>
      <c r="Y47" s="1200"/>
      <c r="Z47" s="1200"/>
      <c r="AA47" s="1200"/>
      <c r="AB47" s="1201"/>
    </row>
    <row r="55" spans="10:10" ht="18" x14ac:dyDescent="0.35">
      <c r="J55" s="434"/>
    </row>
  </sheetData>
  <mergeCells count="30">
    <mergeCell ref="W2:AB11"/>
    <mergeCell ref="F9:V11"/>
    <mergeCell ref="F6:V8"/>
    <mergeCell ref="F2:V5"/>
    <mergeCell ref="Q29:AB29"/>
    <mergeCell ref="Q14:AB14"/>
    <mergeCell ref="E44:G44"/>
    <mergeCell ref="H44:J44"/>
    <mergeCell ref="N44:P44"/>
    <mergeCell ref="K44:M44"/>
    <mergeCell ref="B14:P14"/>
    <mergeCell ref="B29:P29"/>
    <mergeCell ref="B38:B39"/>
    <mergeCell ref="B40:P40"/>
    <mergeCell ref="B12:C12"/>
    <mergeCell ref="B2:E11"/>
    <mergeCell ref="E47:AB47"/>
    <mergeCell ref="E46:P46"/>
    <mergeCell ref="Q46:AB46"/>
    <mergeCell ref="Q45:V45"/>
    <mergeCell ref="W45:AB45"/>
    <mergeCell ref="E45:J45"/>
    <mergeCell ref="K45:P45"/>
    <mergeCell ref="Q40:AB40"/>
    <mergeCell ref="E12:P12"/>
    <mergeCell ref="Q12:AB12"/>
    <mergeCell ref="Q44:S44"/>
    <mergeCell ref="T44:V44"/>
    <mergeCell ref="W44:Y44"/>
    <mergeCell ref="Z44:AB4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94E6-CD2C-4987-ABC8-E4293F2C2157}">
  <dimension ref="B1:AO107"/>
  <sheetViews>
    <sheetView showGridLines="0" zoomScale="70" zoomScaleNormal="70" workbookViewId="0">
      <selection activeCell="N23" sqref="N23"/>
    </sheetView>
    <sheetView topLeftCell="A63" zoomScale="40" zoomScaleNormal="40" workbookViewId="1">
      <selection activeCell="F15" sqref="F15:F89"/>
    </sheetView>
  </sheetViews>
  <sheetFormatPr baseColWidth="10" defaultColWidth="11.44140625" defaultRowHeight="14.4" x14ac:dyDescent="0.3"/>
  <cols>
    <col min="1" max="1" width="2" customWidth="1"/>
    <col min="2" max="2" width="22.44140625" hidden="1" customWidth="1"/>
    <col min="3" max="3" width="34.44140625" hidden="1" customWidth="1"/>
    <col min="4" max="5" width="23.109375" hidden="1" customWidth="1"/>
    <col min="6" max="8" width="23.109375" customWidth="1"/>
    <col min="9" max="9" width="51.33203125" customWidth="1"/>
    <col min="10" max="10" width="25.109375" style="21" customWidth="1"/>
    <col min="11" max="11" width="24.5546875" hidden="1" customWidth="1"/>
    <col min="12" max="12" width="20" hidden="1" customWidth="1"/>
    <col min="13" max="13" width="23.44140625" style="21" hidden="1" customWidth="1"/>
    <col min="14" max="14" width="14" bestFit="1" customWidth="1"/>
    <col min="15" max="17" width="15.33203125" bestFit="1" customWidth="1"/>
    <col min="18" max="20" width="14" bestFit="1" customWidth="1"/>
    <col min="21" max="21" width="15.33203125" bestFit="1" customWidth="1"/>
    <col min="22" max="22" width="14.88671875" bestFit="1" customWidth="1"/>
    <col min="23" max="25" width="14" bestFit="1" customWidth="1"/>
    <col min="26" max="26" width="14.88671875" bestFit="1" customWidth="1"/>
    <col min="27" max="27" width="15.33203125" bestFit="1" customWidth="1"/>
    <col min="28" max="28" width="14.88671875" bestFit="1" customWidth="1"/>
    <col min="29" max="30" width="15.33203125" bestFit="1" customWidth="1"/>
    <col min="31" max="31" width="14" bestFit="1" customWidth="1"/>
    <col min="32" max="33" width="15.33203125" bestFit="1" customWidth="1"/>
    <col min="34" max="34" width="14.88671875" bestFit="1" customWidth="1"/>
    <col min="35" max="37" width="14" bestFit="1" customWidth="1"/>
    <col min="38" max="38" width="0" hidden="1" customWidth="1"/>
    <col min="39" max="39" width="14" hidden="1" customWidth="1"/>
    <col min="40" max="40" width="15.44140625" bestFit="1" customWidth="1"/>
    <col min="41" max="41" width="12.6640625" bestFit="1" customWidth="1"/>
  </cols>
  <sheetData>
    <row r="1" spans="2:41" ht="15" thickBot="1" x14ac:dyDescent="0.35"/>
    <row r="2" spans="2:41" ht="14.4" customHeight="1" x14ac:dyDescent="0.3">
      <c r="B2" s="1106" t="e" vm="7">
        <v>#VALUE!</v>
      </c>
      <c r="C2" s="1107"/>
      <c r="D2" s="1107"/>
      <c r="E2" s="1108"/>
      <c r="F2" s="916"/>
      <c r="G2" s="916"/>
      <c r="H2" s="916"/>
      <c r="I2" s="994" t="s">
        <v>1501</v>
      </c>
      <c r="J2" s="995"/>
      <c r="K2" s="995"/>
      <c r="L2" s="995"/>
      <c r="M2" s="996"/>
      <c r="N2" s="1131" t="e" vm="8">
        <v>#VALUE!</v>
      </c>
      <c r="O2" s="1132"/>
      <c r="P2" s="1132"/>
      <c r="Q2" s="1133"/>
    </row>
    <row r="3" spans="2:41" ht="14.4" customHeight="1" x14ac:dyDescent="0.3">
      <c r="B3" s="1109"/>
      <c r="C3" s="1110"/>
      <c r="D3" s="1110"/>
      <c r="E3" s="1111"/>
      <c r="F3" s="918"/>
      <c r="G3" s="918"/>
      <c r="H3" s="918"/>
      <c r="I3" s="997"/>
      <c r="J3" s="998"/>
      <c r="K3" s="998"/>
      <c r="L3" s="998"/>
      <c r="M3" s="999"/>
      <c r="N3" s="1134"/>
      <c r="O3" s="1135"/>
      <c r="P3" s="1135"/>
      <c r="Q3" s="1136"/>
    </row>
    <row r="4" spans="2:41" ht="14.4" customHeight="1" x14ac:dyDescent="0.3">
      <c r="B4" s="1109"/>
      <c r="C4" s="1110"/>
      <c r="D4" s="1110"/>
      <c r="E4" s="1111"/>
      <c r="F4" s="918"/>
      <c r="G4" s="918"/>
      <c r="H4" s="918"/>
      <c r="I4" s="997"/>
      <c r="J4" s="998"/>
      <c r="K4" s="998"/>
      <c r="L4" s="998"/>
      <c r="M4" s="999"/>
      <c r="N4" s="1134"/>
      <c r="O4" s="1135"/>
      <c r="P4" s="1135"/>
      <c r="Q4" s="1136"/>
    </row>
    <row r="5" spans="2:41" x14ac:dyDescent="0.3">
      <c r="B5" s="1109"/>
      <c r="C5" s="1110"/>
      <c r="D5" s="1110"/>
      <c r="E5" s="1111"/>
      <c r="F5" s="918"/>
      <c r="G5" s="918"/>
      <c r="H5" s="918"/>
      <c r="I5" s="997"/>
      <c r="J5" s="998"/>
      <c r="K5" s="998"/>
      <c r="L5" s="998"/>
      <c r="M5" s="999"/>
      <c r="N5" s="1134"/>
      <c r="O5" s="1135"/>
      <c r="P5" s="1135"/>
      <c r="Q5" s="1136"/>
    </row>
    <row r="6" spans="2:41" x14ac:dyDescent="0.3">
      <c r="B6" s="1109"/>
      <c r="C6" s="1110"/>
      <c r="D6" s="1110"/>
      <c r="E6" s="1111"/>
      <c r="F6" s="918"/>
      <c r="G6" s="918"/>
      <c r="H6" s="918"/>
      <c r="I6" s="1018" t="s">
        <v>1502</v>
      </c>
      <c r="J6" s="1019"/>
      <c r="K6" s="1019"/>
      <c r="L6" s="1019"/>
      <c r="M6" s="1020"/>
      <c r="N6" s="1134"/>
      <c r="O6" s="1135"/>
      <c r="P6" s="1135"/>
      <c r="Q6" s="1136"/>
    </row>
    <row r="7" spans="2:41" x14ac:dyDescent="0.3">
      <c r="B7" s="1109"/>
      <c r="C7" s="1110"/>
      <c r="D7" s="1110"/>
      <c r="E7" s="1111"/>
      <c r="F7" s="918"/>
      <c r="G7" s="918"/>
      <c r="H7" s="918"/>
      <c r="I7" s="1018" t="s">
        <v>1502</v>
      </c>
      <c r="J7" s="1019"/>
      <c r="K7" s="1019"/>
      <c r="L7" s="1019"/>
      <c r="M7" s="1020"/>
      <c r="N7" s="1134"/>
      <c r="O7" s="1135"/>
      <c r="P7" s="1135"/>
      <c r="Q7" s="1136"/>
    </row>
    <row r="8" spans="2:41" x14ac:dyDescent="0.3">
      <c r="B8" s="1109"/>
      <c r="C8" s="1110"/>
      <c r="D8" s="1110"/>
      <c r="E8" s="1111"/>
      <c r="F8" s="918"/>
      <c r="G8" s="918"/>
      <c r="H8" s="918"/>
      <c r="I8" s="1018" t="s">
        <v>1502</v>
      </c>
      <c r="J8" s="1019"/>
      <c r="K8" s="1019"/>
      <c r="L8" s="1019"/>
      <c r="M8" s="1020"/>
      <c r="N8" s="1134"/>
      <c r="O8" s="1135"/>
      <c r="P8" s="1135"/>
      <c r="Q8" s="1136"/>
    </row>
    <row r="9" spans="2:41" x14ac:dyDescent="0.3">
      <c r="B9" s="1109"/>
      <c r="C9" s="1110"/>
      <c r="D9" s="1110"/>
      <c r="E9" s="1111"/>
      <c r="F9" s="918"/>
      <c r="G9" s="918"/>
      <c r="H9" s="918"/>
      <c r="I9" s="1012" t="s">
        <v>1519</v>
      </c>
      <c r="J9" s="1013"/>
      <c r="K9" s="1013"/>
      <c r="L9" s="1013"/>
      <c r="M9" s="1014"/>
      <c r="N9" s="1134"/>
      <c r="O9" s="1135"/>
      <c r="P9" s="1135"/>
      <c r="Q9" s="1136"/>
    </row>
    <row r="10" spans="2:41" x14ac:dyDescent="0.3">
      <c r="B10" s="1109"/>
      <c r="C10" s="1110"/>
      <c r="D10" s="1110"/>
      <c r="E10" s="1111"/>
      <c r="F10" s="918"/>
      <c r="G10" s="918"/>
      <c r="H10" s="918"/>
      <c r="I10" s="1012"/>
      <c r="J10" s="1013"/>
      <c r="K10" s="1013"/>
      <c r="L10" s="1013"/>
      <c r="M10" s="1014"/>
      <c r="N10" s="1134"/>
      <c r="O10" s="1135"/>
      <c r="P10" s="1135"/>
      <c r="Q10" s="1136"/>
    </row>
    <row r="11" spans="2:41" ht="15" thickBot="1" x14ac:dyDescent="0.35">
      <c r="B11" s="1112"/>
      <c r="C11" s="1113"/>
      <c r="D11" s="1113"/>
      <c r="E11" s="1114"/>
      <c r="F11" s="917"/>
      <c r="G11" s="917"/>
      <c r="H11" s="917"/>
      <c r="I11" s="1015"/>
      <c r="J11" s="1016"/>
      <c r="K11" s="1016"/>
      <c r="L11" s="1016"/>
      <c r="M11" s="1017"/>
      <c r="N11" s="1137"/>
      <c r="O11" s="1138"/>
      <c r="P11" s="1138"/>
      <c r="Q11" s="1139"/>
    </row>
    <row r="12" spans="2:41" ht="15" thickBot="1" x14ac:dyDescent="0.35"/>
    <row r="13" spans="2:41" ht="15" thickBot="1" x14ac:dyDescent="0.35">
      <c r="N13" s="939">
        <v>2026</v>
      </c>
      <c r="O13" s="940"/>
      <c r="P13" s="940"/>
      <c r="Q13" s="940"/>
      <c r="R13" s="940"/>
      <c r="S13" s="940"/>
      <c r="T13" s="940"/>
      <c r="U13" s="940"/>
      <c r="V13" s="940"/>
      <c r="W13" s="940"/>
      <c r="X13" s="940"/>
      <c r="Y13" s="941"/>
      <c r="Z13" s="939">
        <v>2027</v>
      </c>
      <c r="AA13" s="940"/>
      <c r="AB13" s="940"/>
      <c r="AC13" s="940"/>
      <c r="AD13" s="940"/>
      <c r="AE13" s="940"/>
      <c r="AF13" s="940"/>
      <c r="AG13" s="940"/>
      <c r="AH13" s="940"/>
      <c r="AI13" s="940"/>
      <c r="AJ13" s="940"/>
      <c r="AK13" s="941"/>
    </row>
    <row r="14" spans="2:41" ht="29.4" thickBot="1" x14ac:dyDescent="0.35">
      <c r="B14" s="416" t="s">
        <v>0</v>
      </c>
      <c r="C14" s="417" t="s">
        <v>6</v>
      </c>
      <c r="D14" s="417" t="s">
        <v>1478</v>
      </c>
      <c r="E14" s="417" t="s">
        <v>1186</v>
      </c>
      <c r="F14" s="417" t="s">
        <v>1517</v>
      </c>
      <c r="G14" s="417" t="s">
        <v>1517</v>
      </c>
      <c r="H14" s="417" t="s">
        <v>1207</v>
      </c>
      <c r="I14" s="417" t="s">
        <v>7</v>
      </c>
      <c r="J14" s="417" t="s">
        <v>8</v>
      </c>
      <c r="K14" s="417" t="s">
        <v>1381</v>
      </c>
      <c r="L14" s="417" t="s">
        <v>9</v>
      </c>
      <c r="M14" s="418" t="s">
        <v>10</v>
      </c>
      <c r="N14" s="593" t="s">
        <v>11</v>
      </c>
      <c r="O14" s="594" t="s">
        <v>12</v>
      </c>
      <c r="P14" s="594" t="s">
        <v>13</v>
      </c>
      <c r="Q14" s="594" t="s">
        <v>14</v>
      </c>
      <c r="R14" s="594" t="s">
        <v>15</v>
      </c>
      <c r="S14" s="594" t="s">
        <v>16</v>
      </c>
      <c r="T14" s="594" t="s">
        <v>17</v>
      </c>
      <c r="U14" s="594" t="s">
        <v>18</v>
      </c>
      <c r="V14" s="594" t="s">
        <v>19</v>
      </c>
      <c r="W14" s="594" t="s">
        <v>20</v>
      </c>
      <c r="X14" s="594" t="s">
        <v>21</v>
      </c>
      <c r="Y14" s="595" t="s">
        <v>22</v>
      </c>
      <c r="Z14" s="593" t="s">
        <v>11</v>
      </c>
      <c r="AA14" s="594" t="s">
        <v>12</v>
      </c>
      <c r="AB14" s="594" t="s">
        <v>13</v>
      </c>
      <c r="AC14" s="594" t="s">
        <v>14</v>
      </c>
      <c r="AD14" s="594" t="s">
        <v>15</v>
      </c>
      <c r="AE14" s="594" t="s">
        <v>16</v>
      </c>
      <c r="AF14" s="594" t="s">
        <v>17</v>
      </c>
      <c r="AG14" s="594" t="s">
        <v>18</v>
      </c>
      <c r="AH14" s="594" t="s">
        <v>19</v>
      </c>
      <c r="AI14" s="594" t="s">
        <v>20</v>
      </c>
      <c r="AJ14" s="594" t="s">
        <v>21</v>
      </c>
      <c r="AK14" s="595" t="s">
        <v>22</v>
      </c>
      <c r="AL14" s="1123" t="s">
        <v>487</v>
      </c>
      <c r="AM14" s="1124"/>
    </row>
    <row r="15" spans="2:41" ht="29.4" thickBot="1" x14ac:dyDescent="0.35">
      <c r="B15" s="398" t="s">
        <v>4</v>
      </c>
      <c r="C15" s="401" t="s">
        <v>24</v>
      </c>
      <c r="D15" s="401">
        <v>81141800</v>
      </c>
      <c r="E15" s="401" t="s">
        <v>1479</v>
      </c>
      <c r="F15" s="401" t="s">
        <v>1515</v>
      </c>
      <c r="G15" s="938">
        <f>+IF(F15="Si",1,0)</f>
        <v>1</v>
      </c>
      <c r="H15" s="937" t="s">
        <v>1158</v>
      </c>
      <c r="I15" s="404" t="s">
        <v>25</v>
      </c>
      <c r="J15" s="936">
        <v>50000</v>
      </c>
      <c r="K15" s="736">
        <v>35000</v>
      </c>
      <c r="L15" s="735">
        <v>46098</v>
      </c>
      <c r="M15" s="402">
        <v>46233</v>
      </c>
      <c r="N15" s="720"/>
      <c r="O15" s="721"/>
      <c r="P15" s="596">
        <f>+G15*7000</f>
        <v>7000</v>
      </c>
      <c r="Q15" s="596">
        <f>0*G15</f>
        <v>0</v>
      </c>
      <c r="R15" s="596">
        <f>+G15*17500</f>
        <v>17500</v>
      </c>
      <c r="S15" s="596">
        <f>+G15*0</f>
        <v>0</v>
      </c>
      <c r="T15" s="596">
        <f>+G15*10500</f>
        <v>10500</v>
      </c>
      <c r="U15" s="721"/>
      <c r="V15" s="721"/>
      <c r="W15" s="721"/>
      <c r="X15" s="721"/>
      <c r="Y15" s="722"/>
      <c r="Z15" s="848"/>
      <c r="AA15" s="721"/>
      <c r="AB15" s="721"/>
      <c r="AC15" s="721"/>
      <c r="AD15" s="721"/>
      <c r="AE15" s="721"/>
      <c r="AF15" s="721"/>
      <c r="AG15" s="721"/>
      <c r="AH15" s="721"/>
      <c r="AI15" s="721"/>
      <c r="AJ15" s="721"/>
      <c r="AK15" s="722"/>
      <c r="AL15" s="860" t="str">
        <f>IF(SUM(N15:AK15)=K15,"Si","No")</f>
        <v>Si</v>
      </c>
      <c r="AM15" s="862">
        <f>+SUM(N15:AK15)</f>
        <v>35000</v>
      </c>
      <c r="AN15" s="415">
        <f>+SUM(N15:AK15)</f>
        <v>35000</v>
      </c>
      <c r="AO15" s="415">
        <f>+J15-AN15</f>
        <v>15000</v>
      </c>
    </row>
    <row r="16" spans="2:41" ht="28.8" x14ac:dyDescent="0.3">
      <c r="B16" s="407" t="s">
        <v>28</v>
      </c>
      <c r="C16" s="435" t="s">
        <v>30</v>
      </c>
      <c r="D16" s="435">
        <v>84111601</v>
      </c>
      <c r="E16" s="435" t="s">
        <v>1480</v>
      </c>
      <c r="F16" s="435"/>
      <c r="G16" s="924">
        <v>1</v>
      </c>
      <c r="H16" s="931"/>
      <c r="I16" s="405" t="s">
        <v>31</v>
      </c>
      <c r="J16" s="443">
        <v>100000</v>
      </c>
      <c r="K16" s="443">
        <v>100000</v>
      </c>
      <c r="L16" s="436">
        <v>46037</v>
      </c>
      <c r="M16" s="421">
        <v>46157</v>
      </c>
      <c r="N16" s="597">
        <f>+$G$16*20000</f>
        <v>20000</v>
      </c>
      <c r="O16" s="597">
        <f t="shared" ref="O16:R16" si="0">+$G$16*20000</f>
        <v>20000</v>
      </c>
      <c r="P16" s="597">
        <f t="shared" si="0"/>
        <v>20000</v>
      </c>
      <c r="Q16" s="597">
        <f t="shared" si="0"/>
        <v>20000</v>
      </c>
      <c r="R16" s="597">
        <f t="shared" si="0"/>
        <v>20000</v>
      </c>
      <c r="S16" s="146"/>
      <c r="T16" s="146"/>
      <c r="U16" s="146"/>
      <c r="V16" s="146"/>
      <c r="W16" s="146"/>
      <c r="X16" s="146"/>
      <c r="Y16" s="724"/>
      <c r="Z16" s="849"/>
      <c r="AA16" s="146"/>
      <c r="AB16" s="146"/>
      <c r="AC16" s="146"/>
      <c r="AD16" s="146"/>
      <c r="AE16" s="146"/>
      <c r="AF16" s="146"/>
      <c r="AG16" s="146"/>
      <c r="AH16" s="146"/>
      <c r="AI16" s="146"/>
      <c r="AJ16" s="146"/>
      <c r="AK16" s="724"/>
      <c r="AL16" s="860" t="str">
        <f t="shared" ref="AL16:AL17" si="1">IF(SUM(N16:AK16)=K16,"Si","No")</f>
        <v>Si</v>
      </c>
      <c r="AM16" s="862">
        <f t="shared" ref="AM16:AM17" si="2">+SUM(N16:AK16)</f>
        <v>100000</v>
      </c>
      <c r="AN16" s="415">
        <f t="shared" ref="AN16:AN79" si="3">+SUM(N16:AK16)</f>
        <v>100000</v>
      </c>
    </row>
    <row r="17" spans="2:40" ht="29.4" thickBot="1" x14ac:dyDescent="0.35">
      <c r="B17" s="398" t="s">
        <v>28</v>
      </c>
      <c r="C17" s="401" t="s">
        <v>30</v>
      </c>
      <c r="D17" s="401">
        <v>84111601</v>
      </c>
      <c r="E17" s="401" t="s">
        <v>1480</v>
      </c>
      <c r="F17" s="401"/>
      <c r="G17" s="938">
        <v>1</v>
      </c>
      <c r="H17" s="930"/>
      <c r="I17" s="404" t="s">
        <v>32</v>
      </c>
      <c r="J17" s="403">
        <v>130000</v>
      </c>
      <c r="K17" s="403">
        <v>130000</v>
      </c>
      <c r="L17" s="448">
        <v>46154</v>
      </c>
      <c r="M17" s="402">
        <v>46245</v>
      </c>
      <c r="N17" s="723"/>
      <c r="O17" s="146"/>
      <c r="P17" s="146"/>
      <c r="Q17" s="146"/>
      <c r="R17" s="591">
        <f>+G16*32500</f>
        <v>32500</v>
      </c>
      <c r="S17" s="591">
        <f>+G16*32500</f>
        <v>32500</v>
      </c>
      <c r="T17" s="146"/>
      <c r="U17" s="146"/>
      <c r="V17" s="146"/>
      <c r="W17" s="146"/>
      <c r="X17" s="146"/>
      <c r="Y17" s="724"/>
      <c r="Z17" s="849"/>
      <c r="AA17" s="146"/>
      <c r="AB17" s="146"/>
      <c r="AC17" s="146"/>
      <c r="AD17" s="591">
        <f>+G16*32500</f>
        <v>32500</v>
      </c>
      <c r="AE17" s="591">
        <f>+G16*32500</f>
        <v>32500</v>
      </c>
      <c r="AF17" s="146"/>
      <c r="AG17" s="146"/>
      <c r="AH17" s="146"/>
      <c r="AI17" s="146"/>
      <c r="AJ17" s="146"/>
      <c r="AK17" s="724"/>
      <c r="AL17" s="860" t="str">
        <f t="shared" si="1"/>
        <v>Si</v>
      </c>
      <c r="AM17" s="862">
        <f t="shared" si="2"/>
        <v>130000</v>
      </c>
      <c r="AN17" s="415">
        <f t="shared" si="3"/>
        <v>130000</v>
      </c>
    </row>
    <row r="18" spans="2:40" ht="28.8" x14ac:dyDescent="0.3">
      <c r="B18" s="407" t="s">
        <v>39</v>
      </c>
      <c r="C18" s="435" t="s">
        <v>40</v>
      </c>
      <c r="D18" s="435">
        <v>84111601</v>
      </c>
      <c r="E18" s="435" t="s">
        <v>1480</v>
      </c>
      <c r="F18" s="435"/>
      <c r="G18" s="924">
        <v>1</v>
      </c>
      <c r="H18" s="931"/>
      <c r="I18" s="405" t="s">
        <v>41</v>
      </c>
      <c r="J18" s="406">
        <v>1000000</v>
      </c>
      <c r="K18" s="406">
        <v>1000000</v>
      </c>
      <c r="L18" s="436">
        <v>46252</v>
      </c>
      <c r="M18" s="421">
        <v>46617</v>
      </c>
      <c r="N18" s="723"/>
      <c r="O18" s="146"/>
      <c r="P18" s="146"/>
      <c r="Q18" s="146"/>
      <c r="R18" s="146"/>
      <c r="S18" s="146"/>
      <c r="T18" s="146"/>
      <c r="U18" s="591">
        <f>+G18*200000</f>
        <v>200000</v>
      </c>
      <c r="V18" s="591">
        <v>0</v>
      </c>
      <c r="W18" s="591">
        <v>0</v>
      </c>
      <c r="X18" s="591">
        <v>0</v>
      </c>
      <c r="Y18" s="598">
        <v>0</v>
      </c>
      <c r="Z18" s="850">
        <v>0</v>
      </c>
      <c r="AA18" s="717">
        <v>500000</v>
      </c>
      <c r="AB18" s="591">
        <v>0</v>
      </c>
      <c r="AC18" s="591">
        <v>0</v>
      </c>
      <c r="AD18" s="591">
        <v>0</v>
      </c>
      <c r="AE18" s="591">
        <v>0</v>
      </c>
      <c r="AF18" s="591">
        <v>0</v>
      </c>
      <c r="AG18" s="717">
        <v>300000</v>
      </c>
      <c r="AH18" s="146"/>
      <c r="AI18" s="146"/>
      <c r="AJ18" s="146"/>
      <c r="AK18" s="724"/>
      <c r="AL18" s="860" t="str">
        <f t="shared" ref="AL18:AL20" si="4">IF(SUM(N18:AK18)=K18,"Si","No")</f>
        <v>Si</v>
      </c>
      <c r="AM18" s="862">
        <f t="shared" ref="AM18:AM20" si="5">+SUM(N18:AK18)</f>
        <v>1000000</v>
      </c>
      <c r="AN18" s="415">
        <f t="shared" si="3"/>
        <v>1000000</v>
      </c>
    </row>
    <row r="19" spans="2:40" ht="28.8" x14ac:dyDescent="0.3">
      <c r="B19" s="407" t="s">
        <v>39</v>
      </c>
      <c r="C19" s="435" t="s">
        <v>40</v>
      </c>
      <c r="D19" s="435">
        <v>84111601</v>
      </c>
      <c r="E19" s="435" t="s">
        <v>1480</v>
      </c>
      <c r="F19" s="435"/>
      <c r="G19" s="924">
        <v>1</v>
      </c>
      <c r="H19" s="931"/>
      <c r="I19" s="405" t="s">
        <v>42</v>
      </c>
      <c r="J19" s="406">
        <v>1200000</v>
      </c>
      <c r="K19" s="406">
        <v>1200000</v>
      </c>
      <c r="L19" s="436">
        <v>46022</v>
      </c>
      <c r="M19" s="421">
        <v>46112</v>
      </c>
      <c r="N19" s="846"/>
      <c r="O19" s="591">
        <v>400000</v>
      </c>
      <c r="P19" s="591">
        <v>400000</v>
      </c>
      <c r="Q19" s="591">
        <v>400000</v>
      </c>
      <c r="R19" s="146"/>
      <c r="S19" s="146"/>
      <c r="T19" s="146"/>
      <c r="U19" s="146"/>
      <c r="V19" s="146"/>
      <c r="W19" s="146"/>
      <c r="X19" s="146"/>
      <c r="Y19" s="724"/>
      <c r="Z19" s="849"/>
      <c r="AA19" s="146"/>
      <c r="AB19" s="146"/>
      <c r="AC19" s="146"/>
      <c r="AD19" s="146"/>
      <c r="AE19" s="146"/>
      <c r="AF19" s="146"/>
      <c r="AG19" s="146"/>
      <c r="AH19" s="146"/>
      <c r="AI19" s="146"/>
      <c r="AJ19" s="146"/>
      <c r="AK19" s="724"/>
      <c r="AL19" s="860" t="str">
        <f t="shared" si="4"/>
        <v>Si</v>
      </c>
      <c r="AM19" s="862">
        <f t="shared" si="5"/>
        <v>1200000</v>
      </c>
      <c r="AN19" s="415">
        <f t="shared" si="3"/>
        <v>1200000</v>
      </c>
    </row>
    <row r="20" spans="2:40" ht="42" customHeight="1" thickBot="1" x14ac:dyDescent="0.35">
      <c r="B20" s="398" t="s">
        <v>43</v>
      </c>
      <c r="C20" s="401" t="s">
        <v>24</v>
      </c>
      <c r="D20" s="401">
        <v>80101504</v>
      </c>
      <c r="E20" s="401" t="s">
        <v>1481</v>
      </c>
      <c r="F20" s="401"/>
      <c r="G20" s="938">
        <v>1</v>
      </c>
      <c r="H20" s="930"/>
      <c r="I20" s="404" t="s">
        <v>44</v>
      </c>
      <c r="J20" s="408">
        <v>33333.33</v>
      </c>
      <c r="K20" s="410">
        <v>33333.33</v>
      </c>
      <c r="L20" s="448">
        <v>46076</v>
      </c>
      <c r="M20" s="402">
        <v>46256</v>
      </c>
      <c r="N20" s="723"/>
      <c r="O20" s="591">
        <v>6666.6660000000011</v>
      </c>
      <c r="P20" s="591">
        <v>0</v>
      </c>
      <c r="Q20" s="591">
        <v>0</v>
      </c>
      <c r="R20" s="591">
        <v>16666.665000000001</v>
      </c>
      <c r="S20" s="591">
        <v>0</v>
      </c>
      <c r="T20" s="591">
        <v>0</v>
      </c>
      <c r="U20" s="591">
        <v>9999.9989999999998</v>
      </c>
      <c r="V20" s="146"/>
      <c r="W20" s="146"/>
      <c r="X20" s="146"/>
      <c r="Y20" s="724"/>
      <c r="Z20" s="849"/>
      <c r="AA20" s="146"/>
      <c r="AB20" s="146"/>
      <c r="AC20" s="146"/>
      <c r="AD20" s="146"/>
      <c r="AE20" s="146"/>
      <c r="AF20" s="146"/>
      <c r="AG20" s="146"/>
      <c r="AH20" s="146"/>
      <c r="AI20" s="146"/>
      <c r="AJ20" s="146"/>
      <c r="AK20" s="724"/>
      <c r="AL20" s="860" t="str">
        <f t="shared" si="4"/>
        <v>Si</v>
      </c>
      <c r="AM20" s="862">
        <f t="shared" si="5"/>
        <v>33333.33</v>
      </c>
      <c r="AN20" s="415">
        <f t="shared" si="3"/>
        <v>33333.33</v>
      </c>
    </row>
    <row r="21" spans="2:40" ht="29.4" thickBot="1" x14ac:dyDescent="0.35">
      <c r="B21" s="407" t="s">
        <v>1386</v>
      </c>
      <c r="C21" s="435" t="s">
        <v>24</v>
      </c>
      <c r="D21" s="435">
        <v>80111608</v>
      </c>
      <c r="E21" s="435" t="s">
        <v>1482</v>
      </c>
      <c r="F21" s="435"/>
      <c r="G21" s="924">
        <v>1</v>
      </c>
      <c r="H21" s="931"/>
      <c r="I21" s="405" t="s">
        <v>47</v>
      </c>
      <c r="J21" s="408">
        <v>33333.33</v>
      </c>
      <c r="K21" s="406">
        <v>41666.67</v>
      </c>
      <c r="L21" s="436">
        <v>46108</v>
      </c>
      <c r="M21" s="421">
        <v>46473</v>
      </c>
      <c r="N21" s="723"/>
      <c r="O21" s="146"/>
      <c r="P21" s="591">
        <v>8333.3340000000007</v>
      </c>
      <c r="Q21" s="591">
        <v>0</v>
      </c>
      <c r="R21" s="591">
        <v>0</v>
      </c>
      <c r="S21" s="591">
        <v>0</v>
      </c>
      <c r="T21" s="591">
        <v>0</v>
      </c>
      <c r="U21" s="591">
        <v>16666.668000000001</v>
      </c>
      <c r="V21" s="591">
        <v>0</v>
      </c>
      <c r="W21" s="591">
        <v>0</v>
      </c>
      <c r="X21" s="591">
        <v>0</v>
      </c>
      <c r="Y21" s="598">
        <v>0</v>
      </c>
      <c r="Z21" s="850">
        <v>0</v>
      </c>
      <c r="AA21" s="591">
        <v>0</v>
      </c>
      <c r="AB21" s="591">
        <v>16666.668000000001</v>
      </c>
      <c r="AC21" s="146"/>
      <c r="AD21" s="146"/>
      <c r="AE21" s="146"/>
      <c r="AF21" s="146"/>
      <c r="AG21" s="146"/>
      <c r="AH21" s="146"/>
      <c r="AI21" s="146"/>
      <c r="AJ21" s="146"/>
      <c r="AK21" s="724"/>
      <c r="AL21" s="860" t="str">
        <f>IF(SUM(N21:AK21)=K21,"Si","No")</f>
        <v>Si</v>
      </c>
      <c r="AM21" s="862">
        <f>+SUM(N21:AK21)</f>
        <v>41666.67</v>
      </c>
      <c r="AN21" s="415">
        <f t="shared" si="3"/>
        <v>41666.67</v>
      </c>
    </row>
    <row r="22" spans="2:40" x14ac:dyDescent="0.3">
      <c r="B22" s="407" t="s">
        <v>45</v>
      </c>
      <c r="C22" s="435" t="s">
        <v>24</v>
      </c>
      <c r="D22" s="435">
        <v>80111608</v>
      </c>
      <c r="E22" s="435" t="s">
        <v>1482</v>
      </c>
      <c r="F22" s="435"/>
      <c r="G22" s="925">
        <v>0</v>
      </c>
      <c r="H22" s="932"/>
      <c r="I22" s="405" t="s">
        <v>48</v>
      </c>
      <c r="J22" s="406">
        <v>70000</v>
      </c>
      <c r="K22" s="406">
        <v>25000</v>
      </c>
      <c r="L22" s="436">
        <v>46446</v>
      </c>
      <c r="M22" s="421">
        <v>46566</v>
      </c>
      <c r="N22" s="723"/>
      <c r="O22" s="146"/>
      <c r="P22" s="146"/>
      <c r="Q22" s="146"/>
      <c r="R22" s="146"/>
      <c r="S22" s="146"/>
      <c r="T22" s="710"/>
      <c r="U22" s="710"/>
      <c r="V22" s="710"/>
      <c r="W22" s="710"/>
      <c r="X22" s="710"/>
      <c r="Y22" s="712"/>
      <c r="Z22" s="847"/>
      <c r="AA22" s="591">
        <v>5000</v>
      </c>
      <c r="AB22" s="591">
        <v>0</v>
      </c>
      <c r="AC22" s="591">
        <v>12500</v>
      </c>
      <c r="AD22" s="591">
        <v>0</v>
      </c>
      <c r="AE22" s="591">
        <v>7500</v>
      </c>
      <c r="AF22" s="710"/>
      <c r="AG22" s="710"/>
      <c r="AH22" s="710"/>
      <c r="AI22" s="146"/>
      <c r="AJ22" s="146"/>
      <c r="AK22" s="724"/>
      <c r="AL22" s="860" t="str">
        <f t="shared" ref="AL22:AL23" si="6">IF(SUM(N22:AK22)=K22,"Si","No")</f>
        <v>Si</v>
      </c>
      <c r="AM22" s="862">
        <f t="shared" ref="AM22:AM23" si="7">+SUM(N22:AK22)</f>
        <v>25000</v>
      </c>
      <c r="AN22" s="415">
        <f t="shared" si="3"/>
        <v>25000</v>
      </c>
    </row>
    <row r="23" spans="2:40" ht="55.5" customHeight="1" thickBot="1" x14ac:dyDescent="0.35">
      <c r="B23" s="398" t="s">
        <v>1497</v>
      </c>
      <c r="C23" s="401" t="s">
        <v>24</v>
      </c>
      <c r="D23" s="401">
        <v>80111501</v>
      </c>
      <c r="E23" s="401" t="s">
        <v>1203</v>
      </c>
      <c r="F23" s="401"/>
      <c r="G23" s="929">
        <v>0</v>
      </c>
      <c r="H23" s="933"/>
      <c r="I23" s="404" t="s">
        <v>49</v>
      </c>
      <c r="J23" s="408">
        <v>10000</v>
      </c>
      <c r="K23" s="408">
        <v>10000</v>
      </c>
      <c r="L23" s="448">
        <v>46102</v>
      </c>
      <c r="M23" s="402">
        <v>46282</v>
      </c>
      <c r="N23" s="723"/>
      <c r="O23" s="146"/>
      <c r="P23" s="591">
        <v>2000</v>
      </c>
      <c r="Q23" s="591">
        <v>0</v>
      </c>
      <c r="R23" s="591">
        <v>0</v>
      </c>
      <c r="S23" s="591">
        <v>5000</v>
      </c>
      <c r="T23" s="591">
        <v>0</v>
      </c>
      <c r="U23" s="591">
        <v>0</v>
      </c>
      <c r="V23" s="591">
        <v>3000</v>
      </c>
      <c r="W23" s="146"/>
      <c r="X23" s="146"/>
      <c r="Y23" s="724"/>
      <c r="Z23" s="849"/>
      <c r="AA23" s="146"/>
      <c r="AB23" s="146"/>
      <c r="AC23" s="146"/>
      <c r="AD23" s="146"/>
      <c r="AE23" s="146"/>
      <c r="AF23" s="146"/>
      <c r="AG23" s="146"/>
      <c r="AH23" s="146"/>
      <c r="AI23" s="146"/>
      <c r="AJ23" s="146"/>
      <c r="AK23" s="724"/>
      <c r="AL23" s="860" t="str">
        <f t="shared" si="6"/>
        <v>Si</v>
      </c>
      <c r="AM23" s="862">
        <f t="shared" si="7"/>
        <v>10000</v>
      </c>
      <c r="AN23" s="415">
        <f t="shared" si="3"/>
        <v>10000</v>
      </c>
    </row>
    <row r="24" spans="2:40" ht="29.4" thickBot="1" x14ac:dyDescent="0.35">
      <c r="B24" s="426" t="s">
        <v>52</v>
      </c>
      <c r="C24" s="429" t="s">
        <v>53</v>
      </c>
      <c r="D24" s="429"/>
      <c r="E24" s="429"/>
      <c r="F24" s="429"/>
      <c r="G24" s="925">
        <v>0</v>
      </c>
      <c r="H24" s="934"/>
      <c r="I24" s="427" t="s">
        <v>54</v>
      </c>
      <c r="J24" s="408">
        <v>25625.84</v>
      </c>
      <c r="K24" s="408">
        <v>25625.84</v>
      </c>
      <c r="L24" s="447">
        <v>46327</v>
      </c>
      <c r="M24" s="447">
        <v>46446</v>
      </c>
      <c r="N24" s="723"/>
      <c r="O24" s="146"/>
      <c r="P24" s="146"/>
      <c r="Q24" s="146"/>
      <c r="R24" s="146"/>
      <c r="S24" s="146"/>
      <c r="T24" s="146"/>
      <c r="U24" s="146"/>
      <c r="V24" s="146"/>
      <c r="W24" s="146"/>
      <c r="X24" s="591">
        <v>5125.1680000000006</v>
      </c>
      <c r="Y24" s="598">
        <v>0</v>
      </c>
      <c r="Z24" s="850">
        <v>12812.92</v>
      </c>
      <c r="AA24" s="591">
        <v>7687.7519999999995</v>
      </c>
      <c r="AB24" s="146"/>
      <c r="AC24" s="146"/>
      <c r="AD24" s="146"/>
      <c r="AE24" s="146"/>
      <c r="AF24" s="146"/>
      <c r="AG24" s="146"/>
      <c r="AH24" s="146"/>
      <c r="AI24" s="146"/>
      <c r="AJ24" s="146"/>
      <c r="AK24" s="724"/>
      <c r="AL24" s="860" t="str">
        <f t="shared" ref="AL24" si="8">IF(SUM(N24:AK24)=K24,"Si","No")</f>
        <v>Si</v>
      </c>
      <c r="AM24" s="862">
        <f t="shared" ref="AM24" si="9">+SUM(N24:AK24)</f>
        <v>25625.84</v>
      </c>
      <c r="AN24" s="415">
        <f t="shared" si="3"/>
        <v>25625.84</v>
      </c>
    </row>
    <row r="25" spans="2:40" x14ac:dyDescent="0.3">
      <c r="B25" s="407" t="s">
        <v>57</v>
      </c>
      <c r="C25" s="435" t="s">
        <v>58</v>
      </c>
      <c r="D25" s="435"/>
      <c r="E25" s="435"/>
      <c r="F25" s="435"/>
      <c r="G25" s="924">
        <v>1</v>
      </c>
      <c r="H25" s="931"/>
      <c r="I25" s="405" t="s">
        <v>59</v>
      </c>
      <c r="J25" s="406">
        <v>30000</v>
      </c>
      <c r="K25" s="406">
        <v>30000</v>
      </c>
      <c r="L25" s="436">
        <v>46054</v>
      </c>
      <c r="M25" s="421">
        <v>46158</v>
      </c>
      <c r="N25" s="723"/>
      <c r="O25" s="591">
        <v>7500</v>
      </c>
      <c r="P25" s="591">
        <v>7500</v>
      </c>
      <c r="Q25" s="591">
        <v>7500</v>
      </c>
      <c r="R25" s="591">
        <v>7500</v>
      </c>
      <c r="S25" s="146"/>
      <c r="T25" s="146"/>
      <c r="U25" s="146"/>
      <c r="V25" s="146"/>
      <c r="W25" s="146"/>
      <c r="X25" s="146"/>
      <c r="Y25" s="724"/>
      <c r="Z25" s="849"/>
      <c r="AA25" s="146"/>
      <c r="AB25" s="146"/>
      <c r="AC25" s="146"/>
      <c r="AD25" s="146"/>
      <c r="AE25" s="146"/>
      <c r="AF25" s="146"/>
      <c r="AG25" s="146"/>
      <c r="AH25" s="146"/>
      <c r="AI25" s="146"/>
      <c r="AJ25" s="146"/>
      <c r="AK25" s="724"/>
      <c r="AL25" s="860" t="str">
        <f t="shared" ref="AL25:AL26" si="10">IF(SUM(N25:AK25)=K25,"Si","No")</f>
        <v>Si</v>
      </c>
      <c r="AM25" s="862">
        <f t="shared" ref="AM25:AM26" si="11">+SUM(N25:AK25)</f>
        <v>30000</v>
      </c>
      <c r="AN25" s="415">
        <f t="shared" si="3"/>
        <v>30000</v>
      </c>
    </row>
    <row r="26" spans="2:40" x14ac:dyDescent="0.3">
      <c r="B26" s="407" t="s">
        <v>57</v>
      </c>
      <c r="C26" s="435" t="s">
        <v>24</v>
      </c>
      <c r="D26" s="435"/>
      <c r="E26" s="435"/>
      <c r="F26" s="435"/>
      <c r="G26" s="924">
        <v>1</v>
      </c>
      <c r="H26" s="931"/>
      <c r="I26" s="405" t="s">
        <v>60</v>
      </c>
      <c r="J26" s="406">
        <v>110378</v>
      </c>
      <c r="K26" s="406">
        <v>110378</v>
      </c>
      <c r="L26" s="436">
        <v>46054</v>
      </c>
      <c r="M26" s="421">
        <v>46537</v>
      </c>
      <c r="N26" s="723"/>
      <c r="O26" s="591">
        <v>6898.625</v>
      </c>
      <c r="P26" s="591">
        <v>6898.625</v>
      </c>
      <c r="Q26" s="591">
        <v>6898.625</v>
      </c>
      <c r="R26" s="591">
        <v>6898.625</v>
      </c>
      <c r="S26" s="591">
        <v>6898.625</v>
      </c>
      <c r="T26" s="591">
        <v>6898.625</v>
      </c>
      <c r="U26" s="591">
        <v>6898.625</v>
      </c>
      <c r="V26" s="591">
        <v>6898.625</v>
      </c>
      <c r="W26" s="591">
        <v>6898.625</v>
      </c>
      <c r="X26" s="591">
        <v>6898.625</v>
      </c>
      <c r="Y26" s="598">
        <v>6898.625</v>
      </c>
      <c r="Z26" s="850">
        <v>6898.625</v>
      </c>
      <c r="AA26" s="591">
        <v>6898.625</v>
      </c>
      <c r="AB26" s="591">
        <v>6898.625</v>
      </c>
      <c r="AC26" s="591">
        <v>6898.625</v>
      </c>
      <c r="AD26" s="591">
        <v>6898.625</v>
      </c>
      <c r="AE26" s="146"/>
      <c r="AF26" s="146"/>
      <c r="AG26" s="146"/>
      <c r="AH26" s="146"/>
      <c r="AI26" s="146"/>
      <c r="AJ26" s="146"/>
      <c r="AK26" s="724"/>
      <c r="AL26" s="860" t="str">
        <f t="shared" si="10"/>
        <v>Si</v>
      </c>
      <c r="AM26" s="862">
        <f t="shared" si="11"/>
        <v>110378</v>
      </c>
      <c r="AN26" s="415">
        <f t="shared" si="3"/>
        <v>110378</v>
      </c>
    </row>
    <row r="27" spans="2:40" x14ac:dyDescent="0.3">
      <c r="B27" s="407" t="s">
        <v>116</v>
      </c>
      <c r="C27" s="435" t="s">
        <v>118</v>
      </c>
      <c r="D27" s="435"/>
      <c r="E27" s="435"/>
      <c r="F27" s="435"/>
      <c r="G27" s="924">
        <v>1</v>
      </c>
      <c r="H27" s="931"/>
      <c r="I27" s="405" t="s">
        <v>119</v>
      </c>
      <c r="J27" s="406">
        <v>10000</v>
      </c>
      <c r="K27" s="388">
        <v>10000</v>
      </c>
      <c r="L27" s="436">
        <v>46139</v>
      </c>
      <c r="M27" s="421">
        <v>46319</v>
      </c>
      <c r="N27" s="723"/>
      <c r="O27" s="146"/>
      <c r="P27" s="146"/>
      <c r="Q27" s="591">
        <v>1428.5714285714287</v>
      </c>
      <c r="R27" s="591">
        <v>1428.5714285714287</v>
      </c>
      <c r="S27" s="591">
        <v>1428.5714285714287</v>
      </c>
      <c r="T27" s="591">
        <v>1428.5714285714287</v>
      </c>
      <c r="U27" s="591">
        <v>1428.5714285714287</v>
      </c>
      <c r="V27" s="591">
        <v>1428.5714285714287</v>
      </c>
      <c r="W27" s="591">
        <v>1428.5714285714287</v>
      </c>
      <c r="X27" s="146"/>
      <c r="Y27" s="724"/>
      <c r="Z27" s="849"/>
      <c r="AA27" s="146"/>
      <c r="AB27" s="146"/>
      <c r="AC27" s="146"/>
      <c r="AD27" s="146"/>
      <c r="AE27" s="146"/>
      <c r="AF27" s="146"/>
      <c r="AG27" s="146"/>
      <c r="AH27" s="146"/>
      <c r="AI27" s="146"/>
      <c r="AJ27" s="146"/>
      <c r="AK27" s="724"/>
      <c r="AL27" s="860" t="str">
        <f t="shared" ref="AL27:AL37" si="12">IF(SUM(N27:AK27)=K27,"Si","No")</f>
        <v>Si</v>
      </c>
      <c r="AM27" s="862">
        <f t="shared" ref="AM27:AM37" si="13">+SUM(N27:AK27)</f>
        <v>10000.000000000002</v>
      </c>
      <c r="AN27" s="415">
        <f t="shared" si="3"/>
        <v>10000.000000000002</v>
      </c>
    </row>
    <row r="28" spans="2:40" ht="28.8" x14ac:dyDescent="0.3">
      <c r="B28" s="407" t="s">
        <v>116</v>
      </c>
      <c r="C28" s="435" t="s">
        <v>118</v>
      </c>
      <c r="D28" s="435"/>
      <c r="E28" s="435"/>
      <c r="F28" s="435"/>
      <c r="G28" s="924">
        <v>1</v>
      </c>
      <c r="H28" s="931"/>
      <c r="I28" s="405" t="s">
        <v>120</v>
      </c>
      <c r="J28" s="406">
        <v>12000</v>
      </c>
      <c r="K28" s="388">
        <v>12000</v>
      </c>
      <c r="L28" s="436">
        <v>46242</v>
      </c>
      <c r="M28" s="421">
        <v>46422</v>
      </c>
      <c r="N28" s="723"/>
      <c r="O28" s="146"/>
      <c r="P28" s="146"/>
      <c r="Q28" s="146"/>
      <c r="R28" s="146"/>
      <c r="S28" s="146"/>
      <c r="T28" s="146"/>
      <c r="U28" s="591">
        <v>2400</v>
      </c>
      <c r="V28" s="591">
        <v>0</v>
      </c>
      <c r="W28" s="591">
        <v>0</v>
      </c>
      <c r="X28" s="591">
        <v>4800</v>
      </c>
      <c r="Y28" s="598">
        <v>0</v>
      </c>
      <c r="Z28" s="850">
        <v>0</v>
      </c>
      <c r="AA28" s="591">
        <v>4800</v>
      </c>
      <c r="AB28" s="146"/>
      <c r="AC28" s="146"/>
      <c r="AD28" s="146"/>
      <c r="AE28" s="146"/>
      <c r="AF28" s="146"/>
      <c r="AG28" s="146"/>
      <c r="AH28" s="146"/>
      <c r="AI28" s="146"/>
      <c r="AJ28" s="146"/>
      <c r="AK28" s="724"/>
      <c r="AL28" s="860" t="str">
        <f t="shared" si="12"/>
        <v>Si</v>
      </c>
      <c r="AM28" s="862">
        <f t="shared" si="13"/>
        <v>12000</v>
      </c>
      <c r="AN28" s="415">
        <f t="shared" si="3"/>
        <v>12000</v>
      </c>
    </row>
    <row r="29" spans="2:40" ht="28.8" x14ac:dyDescent="0.3">
      <c r="B29" s="407" t="s">
        <v>116</v>
      </c>
      <c r="C29" s="435" t="s">
        <v>121</v>
      </c>
      <c r="D29" s="435"/>
      <c r="E29" s="435"/>
      <c r="F29" s="435"/>
      <c r="G29" s="925">
        <v>0</v>
      </c>
      <c r="H29" s="932"/>
      <c r="I29" s="405" t="s">
        <v>122</v>
      </c>
      <c r="J29" s="406">
        <v>30000</v>
      </c>
      <c r="K29" s="388">
        <v>30000</v>
      </c>
      <c r="L29" s="436">
        <v>46148</v>
      </c>
      <c r="M29" s="421">
        <v>46446</v>
      </c>
      <c r="N29" s="723"/>
      <c r="O29" s="146"/>
      <c r="P29" s="710"/>
      <c r="Q29" s="710"/>
      <c r="R29" s="710"/>
      <c r="S29" s="710"/>
      <c r="T29" s="710"/>
      <c r="U29" s="710"/>
      <c r="V29" s="710"/>
      <c r="W29" s="710"/>
      <c r="X29" s="710"/>
      <c r="Y29" s="712"/>
      <c r="Z29" s="850">
        <v>3000</v>
      </c>
      <c r="AA29" s="591">
        <v>3000</v>
      </c>
      <c r="AB29" s="591">
        <v>3000</v>
      </c>
      <c r="AC29" s="591">
        <v>3000</v>
      </c>
      <c r="AD29" s="591">
        <v>3000</v>
      </c>
      <c r="AE29" s="591">
        <v>3000</v>
      </c>
      <c r="AF29" s="591">
        <v>3000</v>
      </c>
      <c r="AG29" s="591">
        <v>3000</v>
      </c>
      <c r="AH29" s="591">
        <v>3000</v>
      </c>
      <c r="AI29" s="591">
        <v>3000</v>
      </c>
      <c r="AJ29" s="146"/>
      <c r="AK29" s="724"/>
      <c r="AL29" s="860" t="str">
        <f t="shared" si="12"/>
        <v>Si</v>
      </c>
      <c r="AM29" s="862">
        <f t="shared" si="13"/>
        <v>30000</v>
      </c>
      <c r="AN29" s="415">
        <f t="shared" si="3"/>
        <v>30000</v>
      </c>
    </row>
    <row r="30" spans="2:40" ht="28.8" x14ac:dyDescent="0.3">
      <c r="B30" s="407" t="s">
        <v>116</v>
      </c>
      <c r="C30" s="435" t="s">
        <v>121</v>
      </c>
      <c r="D30" s="435"/>
      <c r="E30" s="435"/>
      <c r="F30" s="435"/>
      <c r="G30" s="925">
        <v>0</v>
      </c>
      <c r="H30" s="932"/>
      <c r="I30" s="405" t="s">
        <v>123</v>
      </c>
      <c r="J30" s="406">
        <v>20000</v>
      </c>
      <c r="K30" s="413">
        <v>20000</v>
      </c>
      <c r="L30" s="436">
        <v>46197</v>
      </c>
      <c r="M30" s="421">
        <v>46377</v>
      </c>
      <c r="N30" s="723"/>
      <c r="O30" s="146"/>
      <c r="P30" s="146"/>
      <c r="Q30" s="146"/>
      <c r="R30" s="591">
        <v>4000</v>
      </c>
      <c r="S30" s="591">
        <v>0</v>
      </c>
      <c r="T30" s="591">
        <v>0</v>
      </c>
      <c r="U30" s="591">
        <v>10000</v>
      </c>
      <c r="V30" s="591">
        <v>0</v>
      </c>
      <c r="W30" s="591">
        <v>0</v>
      </c>
      <c r="X30" s="591">
        <v>6000</v>
      </c>
      <c r="Y30" s="724"/>
      <c r="Z30" s="847"/>
      <c r="AA30" s="710"/>
      <c r="AB30" s="710"/>
      <c r="AC30" s="710"/>
      <c r="AD30" s="710"/>
      <c r="AE30" s="710"/>
      <c r="AF30" s="710"/>
      <c r="AG30" s="710"/>
      <c r="AH30" s="146"/>
      <c r="AI30" s="146"/>
      <c r="AJ30" s="146"/>
      <c r="AK30" s="724"/>
      <c r="AL30" s="860" t="str">
        <f t="shared" si="12"/>
        <v>Si</v>
      </c>
      <c r="AM30" s="862">
        <f t="shared" si="13"/>
        <v>20000</v>
      </c>
      <c r="AN30" s="415">
        <f t="shared" si="3"/>
        <v>20000</v>
      </c>
    </row>
    <row r="31" spans="2:40" x14ac:dyDescent="0.3">
      <c r="B31" s="407" t="s">
        <v>116</v>
      </c>
      <c r="C31" s="435" t="s">
        <v>118</v>
      </c>
      <c r="D31" s="435"/>
      <c r="E31" s="435"/>
      <c r="F31" s="435"/>
      <c r="G31" s="925">
        <v>0</v>
      </c>
      <c r="H31" s="932"/>
      <c r="I31" s="405" t="s">
        <v>124</v>
      </c>
      <c r="J31" s="406">
        <v>19500</v>
      </c>
      <c r="K31" s="413">
        <v>19500</v>
      </c>
      <c r="L31" s="436">
        <v>46137</v>
      </c>
      <c r="M31" s="421">
        <v>46317</v>
      </c>
      <c r="N31" s="723"/>
      <c r="O31" s="146"/>
      <c r="P31" s="146"/>
      <c r="Q31" s="591">
        <v>2785.7142857142858</v>
      </c>
      <c r="R31" s="591">
        <v>2785.7142857142858</v>
      </c>
      <c r="S31" s="591">
        <v>2785.7142857142858</v>
      </c>
      <c r="T31" s="591">
        <v>2785.7142857142858</v>
      </c>
      <c r="U31" s="591">
        <v>2785.7142857142858</v>
      </c>
      <c r="V31" s="591">
        <v>2785.7142857142858</v>
      </c>
      <c r="W31" s="591">
        <v>2785.7142857142858</v>
      </c>
      <c r="X31" s="146"/>
      <c r="Y31" s="724"/>
      <c r="Z31" s="847"/>
      <c r="AA31" s="710"/>
      <c r="AB31" s="710"/>
      <c r="AC31" s="710"/>
      <c r="AD31" s="710"/>
      <c r="AE31" s="710"/>
      <c r="AF31" s="710"/>
      <c r="AG31" s="710"/>
      <c r="AH31" s="146"/>
      <c r="AI31" s="146"/>
      <c r="AJ31" s="146"/>
      <c r="AK31" s="724"/>
      <c r="AL31" s="860" t="str">
        <f t="shared" si="12"/>
        <v>Si</v>
      </c>
      <c r="AM31" s="862">
        <f t="shared" si="13"/>
        <v>19500</v>
      </c>
      <c r="AN31" s="415">
        <f t="shared" si="3"/>
        <v>19500</v>
      </c>
    </row>
    <row r="32" spans="2:40" ht="28.8" x14ac:dyDescent="0.3">
      <c r="B32" s="407" t="s">
        <v>116</v>
      </c>
      <c r="C32" s="435" t="s">
        <v>125</v>
      </c>
      <c r="D32" s="435"/>
      <c r="E32" s="435"/>
      <c r="F32" s="435"/>
      <c r="G32" s="925">
        <v>0</v>
      </c>
      <c r="H32" s="932"/>
      <c r="I32" s="405" t="s">
        <v>126</v>
      </c>
      <c r="J32" s="387">
        <v>15000</v>
      </c>
      <c r="K32" s="414">
        <v>15000</v>
      </c>
      <c r="L32" s="436">
        <v>46116</v>
      </c>
      <c r="M32" s="421">
        <v>46296</v>
      </c>
      <c r="N32" s="723"/>
      <c r="O32" s="146"/>
      <c r="P32" s="146"/>
      <c r="Q32" s="146"/>
      <c r="R32" s="146"/>
      <c r="S32" s="146"/>
      <c r="T32" s="146"/>
      <c r="U32" s="146"/>
      <c r="V32" s="146"/>
      <c r="W32" s="146"/>
      <c r="X32" s="146"/>
      <c r="Y32" s="724"/>
      <c r="Z32" s="591">
        <v>2142.8571428571427</v>
      </c>
      <c r="AA32" s="591">
        <v>2142.8571428571427</v>
      </c>
      <c r="AB32" s="591">
        <v>2142.8571428571427</v>
      </c>
      <c r="AC32" s="591">
        <v>2142.8571428571427</v>
      </c>
      <c r="AD32" s="591">
        <v>2142.8571428571427</v>
      </c>
      <c r="AE32" s="591">
        <v>2142.8571428571427</v>
      </c>
      <c r="AF32" s="591">
        <v>2142.8571428571427</v>
      </c>
      <c r="AG32" s="710"/>
      <c r="AH32" s="146"/>
      <c r="AI32" s="146"/>
      <c r="AJ32" s="146"/>
      <c r="AK32" s="724"/>
      <c r="AL32" s="860" t="str">
        <f t="shared" si="12"/>
        <v>Si</v>
      </c>
      <c r="AM32" s="862">
        <f t="shared" si="13"/>
        <v>15000</v>
      </c>
      <c r="AN32" s="415">
        <f t="shared" si="3"/>
        <v>15000</v>
      </c>
    </row>
    <row r="33" spans="2:40" ht="28.8" x14ac:dyDescent="0.3">
      <c r="B33" s="407" t="s">
        <v>116</v>
      </c>
      <c r="C33" s="435" t="s">
        <v>118</v>
      </c>
      <c r="D33" s="435"/>
      <c r="E33" s="435"/>
      <c r="F33" s="435"/>
      <c r="G33" s="925">
        <v>0</v>
      </c>
      <c r="H33" s="932"/>
      <c r="I33" s="405" t="s">
        <v>127</v>
      </c>
      <c r="J33" s="387">
        <v>22000</v>
      </c>
      <c r="K33" s="414">
        <v>22000</v>
      </c>
      <c r="L33" s="436">
        <v>46108</v>
      </c>
      <c r="M33" s="421">
        <v>46358</v>
      </c>
      <c r="N33" s="723"/>
      <c r="O33" s="146"/>
      <c r="P33" s="146"/>
      <c r="Q33" s="591">
        <v>2000</v>
      </c>
      <c r="R33" s="591">
        <v>2000</v>
      </c>
      <c r="S33" s="591">
        <v>2000</v>
      </c>
      <c r="T33" s="591">
        <v>2000</v>
      </c>
      <c r="U33" s="591">
        <v>2000</v>
      </c>
      <c r="V33" s="591">
        <v>2000</v>
      </c>
      <c r="W33" s="591">
        <v>2000</v>
      </c>
      <c r="X33" s="591">
        <v>2000</v>
      </c>
      <c r="Y33" s="591">
        <v>2000</v>
      </c>
      <c r="Z33" s="591">
        <v>2000</v>
      </c>
      <c r="AA33" s="591">
        <v>2000</v>
      </c>
      <c r="AB33" s="863"/>
      <c r="AC33" s="710"/>
      <c r="AD33" s="710"/>
      <c r="AE33" s="710"/>
      <c r="AF33" s="710"/>
      <c r="AG33" s="710"/>
      <c r="AH33" s="710"/>
      <c r="AI33" s="710"/>
      <c r="AJ33" s="146"/>
      <c r="AK33" s="724"/>
      <c r="AL33" s="860" t="str">
        <f t="shared" si="12"/>
        <v>Si</v>
      </c>
      <c r="AM33" s="862">
        <f t="shared" si="13"/>
        <v>22000</v>
      </c>
      <c r="AN33" s="415">
        <f t="shared" si="3"/>
        <v>22000</v>
      </c>
    </row>
    <row r="34" spans="2:40" x14ac:dyDescent="0.3">
      <c r="B34" s="407" t="s">
        <v>116</v>
      </c>
      <c r="C34" s="435" t="s">
        <v>128</v>
      </c>
      <c r="D34" s="435"/>
      <c r="E34" s="435"/>
      <c r="F34" s="435"/>
      <c r="G34" s="925">
        <v>0</v>
      </c>
      <c r="H34" s="932"/>
      <c r="I34" s="405" t="s">
        <v>129</v>
      </c>
      <c r="J34" s="387">
        <v>22000</v>
      </c>
      <c r="K34" s="414">
        <v>22000</v>
      </c>
      <c r="L34" s="436">
        <v>46120</v>
      </c>
      <c r="M34" s="421">
        <v>46300</v>
      </c>
      <c r="N34" s="723"/>
      <c r="O34" s="146"/>
      <c r="P34" s="591">
        <v>2200</v>
      </c>
      <c r="Q34" s="591">
        <v>2200</v>
      </c>
      <c r="R34" s="591">
        <v>2200</v>
      </c>
      <c r="S34" s="591">
        <v>2200</v>
      </c>
      <c r="T34" s="591">
        <v>2200</v>
      </c>
      <c r="U34" s="591">
        <v>2200</v>
      </c>
      <c r="V34" s="591">
        <v>2200</v>
      </c>
      <c r="W34" s="591">
        <v>2200</v>
      </c>
      <c r="X34" s="591">
        <v>2200</v>
      </c>
      <c r="Y34" s="598">
        <v>2200</v>
      </c>
      <c r="Z34" s="849"/>
      <c r="AA34" s="865"/>
      <c r="AB34" s="865"/>
      <c r="AC34" s="865"/>
      <c r="AD34" s="865"/>
      <c r="AE34" s="865"/>
      <c r="AF34" s="865"/>
      <c r="AG34" s="865"/>
      <c r="AH34" s="146"/>
      <c r="AI34" s="146"/>
      <c r="AJ34" s="146"/>
      <c r="AK34" s="724"/>
      <c r="AL34" s="860" t="str">
        <f t="shared" si="12"/>
        <v>Si</v>
      </c>
      <c r="AM34" s="862">
        <f t="shared" si="13"/>
        <v>22000</v>
      </c>
      <c r="AN34" s="415">
        <f t="shared" si="3"/>
        <v>22000</v>
      </c>
    </row>
    <row r="35" spans="2:40" x14ac:dyDescent="0.3">
      <c r="B35" s="407" t="s">
        <v>116</v>
      </c>
      <c r="C35" s="435" t="s">
        <v>130</v>
      </c>
      <c r="D35" s="435"/>
      <c r="E35" s="435"/>
      <c r="F35" s="435"/>
      <c r="G35" s="925">
        <v>0</v>
      </c>
      <c r="H35" s="932"/>
      <c r="I35" s="405" t="s">
        <v>131</v>
      </c>
      <c r="J35" s="387">
        <v>16000</v>
      </c>
      <c r="K35" s="414">
        <v>16000</v>
      </c>
      <c r="L35" s="436">
        <v>46095</v>
      </c>
      <c r="M35" s="421">
        <v>46275</v>
      </c>
      <c r="N35" s="723"/>
      <c r="O35" s="146"/>
      <c r="P35" s="146"/>
      <c r="Q35" s="146"/>
      <c r="R35" s="146"/>
      <c r="S35" s="146"/>
      <c r="T35" s="146"/>
      <c r="U35" s="146"/>
      <c r="V35" s="146"/>
      <c r="W35" s="146"/>
      <c r="X35" s="146"/>
      <c r="Y35" s="724"/>
      <c r="Z35" s="850">
        <v>2285.7142857142858</v>
      </c>
      <c r="AA35" s="591">
        <v>2285.7142857142858</v>
      </c>
      <c r="AB35" s="591">
        <v>2285.7142857142858</v>
      </c>
      <c r="AC35" s="591">
        <v>2285.7142857142858</v>
      </c>
      <c r="AD35" s="591">
        <v>2285.7142857142858</v>
      </c>
      <c r="AE35" s="591">
        <v>2285.7142857142858</v>
      </c>
      <c r="AF35" s="591">
        <v>2285.7142857142858</v>
      </c>
      <c r="AG35" s="146"/>
      <c r="AH35" s="146"/>
      <c r="AI35" s="146"/>
      <c r="AJ35" s="146"/>
      <c r="AK35" s="724"/>
      <c r="AL35" s="860" t="str">
        <f t="shared" si="12"/>
        <v>Si</v>
      </c>
      <c r="AM35" s="862">
        <f t="shared" si="13"/>
        <v>16000.000000000002</v>
      </c>
      <c r="AN35" s="415">
        <f t="shared" si="3"/>
        <v>16000.000000000002</v>
      </c>
    </row>
    <row r="36" spans="2:40" x14ac:dyDescent="0.3">
      <c r="B36" s="407" t="s">
        <v>116</v>
      </c>
      <c r="C36" s="435" t="s">
        <v>118</v>
      </c>
      <c r="D36" s="435"/>
      <c r="E36" s="435"/>
      <c r="F36" s="435"/>
      <c r="G36" s="925">
        <v>0</v>
      </c>
      <c r="H36" s="932"/>
      <c r="I36" s="405" t="s">
        <v>132</v>
      </c>
      <c r="J36" s="387">
        <v>10000</v>
      </c>
      <c r="K36" s="414">
        <v>10000</v>
      </c>
      <c r="L36" s="436">
        <v>46127</v>
      </c>
      <c r="M36" s="421">
        <v>46366</v>
      </c>
      <c r="N36" s="723"/>
      <c r="O36" s="146"/>
      <c r="P36" s="591">
        <v>2000</v>
      </c>
      <c r="Q36" s="591">
        <v>0</v>
      </c>
      <c r="R36" s="591">
        <v>0</v>
      </c>
      <c r="S36" s="591">
        <v>5000</v>
      </c>
      <c r="T36" s="591">
        <v>0</v>
      </c>
      <c r="U36" s="591">
        <v>3000</v>
      </c>
      <c r="V36" s="146"/>
      <c r="W36" s="146"/>
      <c r="X36" s="146"/>
      <c r="Y36" s="724"/>
      <c r="Z36" s="849"/>
      <c r="AA36" s="710"/>
      <c r="AB36" s="710"/>
      <c r="AC36" s="710"/>
      <c r="AD36" s="710"/>
      <c r="AE36" s="710"/>
      <c r="AF36" s="710"/>
      <c r="AG36" s="710"/>
      <c r="AH36" s="710"/>
      <c r="AI36" s="710"/>
      <c r="AJ36" s="146"/>
      <c r="AK36" s="724"/>
      <c r="AL36" s="860" t="str">
        <f t="shared" si="12"/>
        <v>Si</v>
      </c>
      <c r="AM36" s="862">
        <f t="shared" si="13"/>
        <v>10000</v>
      </c>
      <c r="AN36" s="415">
        <f t="shared" si="3"/>
        <v>10000</v>
      </c>
    </row>
    <row r="37" spans="2:40" ht="15" thickBot="1" x14ac:dyDescent="0.35">
      <c r="B37" s="426" t="s">
        <v>116</v>
      </c>
      <c r="C37" s="429" t="s">
        <v>118</v>
      </c>
      <c r="D37" s="429"/>
      <c r="E37" s="429"/>
      <c r="F37" s="429"/>
      <c r="G37" s="925">
        <v>0</v>
      </c>
      <c r="H37" s="934"/>
      <c r="I37" s="427" t="s">
        <v>133</v>
      </c>
      <c r="J37" s="408">
        <v>6000</v>
      </c>
      <c r="K37" s="428">
        <v>6000</v>
      </c>
      <c r="L37" s="447">
        <v>46134</v>
      </c>
      <c r="M37" s="402">
        <v>46314</v>
      </c>
      <c r="N37" s="723"/>
      <c r="O37" s="146"/>
      <c r="P37" s="146"/>
      <c r="Q37" s="146"/>
      <c r="R37" s="146"/>
      <c r="S37" s="146"/>
      <c r="T37" s="146"/>
      <c r="U37" s="146"/>
      <c r="V37" s="146"/>
      <c r="W37" s="146"/>
      <c r="X37" s="146"/>
      <c r="Y37" s="724"/>
      <c r="Z37" s="849"/>
      <c r="AA37" s="591">
        <v>857.14285714285711</v>
      </c>
      <c r="AB37" s="591">
        <v>857.14285714285711</v>
      </c>
      <c r="AC37" s="591">
        <v>857.14285714285711</v>
      </c>
      <c r="AD37" s="591">
        <v>857.14285714285711</v>
      </c>
      <c r="AE37" s="591">
        <v>857.14285714285711</v>
      </c>
      <c r="AF37" s="591">
        <v>857.14285714285711</v>
      </c>
      <c r="AG37" s="591">
        <v>857.14285714285711</v>
      </c>
      <c r="AH37" s="146"/>
      <c r="AI37" s="146"/>
      <c r="AJ37" s="146"/>
      <c r="AK37" s="724"/>
      <c r="AL37" s="860" t="str">
        <f t="shared" si="12"/>
        <v>Si</v>
      </c>
      <c r="AM37" s="862">
        <f t="shared" si="13"/>
        <v>5999.9999999999991</v>
      </c>
      <c r="AN37" s="415">
        <f t="shared" si="3"/>
        <v>5999.9999999999991</v>
      </c>
    </row>
    <row r="38" spans="2:40" ht="28.8" x14ac:dyDescent="0.3">
      <c r="B38" s="397" t="s">
        <v>148</v>
      </c>
      <c r="C38" s="435" t="s">
        <v>164</v>
      </c>
      <c r="D38" s="435"/>
      <c r="E38" s="435"/>
      <c r="F38" s="435"/>
      <c r="G38" s="925">
        <v>0</v>
      </c>
      <c r="H38" s="932"/>
      <c r="I38" s="737" t="s">
        <v>165</v>
      </c>
      <c r="J38" s="387">
        <v>330000</v>
      </c>
      <c r="K38" s="414">
        <v>200000</v>
      </c>
      <c r="L38" s="49">
        <v>46392</v>
      </c>
      <c r="M38" s="421">
        <v>46540</v>
      </c>
      <c r="N38" s="723"/>
      <c r="O38" s="146"/>
      <c r="P38" s="146"/>
      <c r="Q38" s="146"/>
      <c r="R38" s="146"/>
      <c r="S38" s="146"/>
      <c r="T38" s="146"/>
      <c r="U38" s="146"/>
      <c r="V38" s="146"/>
      <c r="W38" s="146"/>
      <c r="X38" s="146"/>
      <c r="Y38" s="729"/>
      <c r="Z38" s="597">
        <v>28571.428571428572</v>
      </c>
      <c r="AA38" s="591">
        <v>28571.428571428572</v>
      </c>
      <c r="AB38" s="591">
        <v>28571.428571428572</v>
      </c>
      <c r="AC38" s="591">
        <v>28571.428571428572</v>
      </c>
      <c r="AD38" s="591">
        <v>28571.428571428572</v>
      </c>
      <c r="AE38" s="591">
        <v>28571.428571428572</v>
      </c>
      <c r="AF38" s="591">
        <v>28571.428571428572</v>
      </c>
      <c r="AG38" s="710"/>
      <c r="AH38" s="146"/>
      <c r="AI38" s="146"/>
      <c r="AJ38" s="146"/>
      <c r="AK38" s="724"/>
      <c r="AL38" s="860" t="str">
        <f t="shared" ref="AL38:AL48" si="14">IF(SUM(N38:AK38)=K38,"Si","No")</f>
        <v>Si</v>
      </c>
      <c r="AM38" s="862">
        <f t="shared" ref="AM38:AM48" si="15">+SUM(N38:AK38)</f>
        <v>200000.00000000003</v>
      </c>
      <c r="AN38" s="415">
        <f t="shared" si="3"/>
        <v>200000.00000000003</v>
      </c>
    </row>
    <row r="39" spans="2:40" ht="43.2" x14ac:dyDescent="0.3">
      <c r="B39" s="397" t="s">
        <v>166</v>
      </c>
      <c r="C39" s="435" t="s">
        <v>167</v>
      </c>
      <c r="D39" s="435"/>
      <c r="E39" s="435"/>
      <c r="F39" s="435"/>
      <c r="G39" s="924">
        <v>1</v>
      </c>
      <c r="H39" s="931"/>
      <c r="I39" s="737" t="s">
        <v>168</v>
      </c>
      <c r="J39" s="387">
        <v>200000</v>
      </c>
      <c r="K39" s="414">
        <v>125000</v>
      </c>
      <c r="L39" s="36">
        <v>46115</v>
      </c>
      <c r="M39" s="421">
        <v>46326</v>
      </c>
      <c r="N39" s="723"/>
      <c r="O39" s="146"/>
      <c r="P39" s="146"/>
      <c r="Q39" s="591">
        <v>25000</v>
      </c>
      <c r="R39" s="591">
        <v>0</v>
      </c>
      <c r="S39" s="591">
        <v>37500</v>
      </c>
      <c r="T39" s="591">
        <v>0</v>
      </c>
      <c r="U39" s="591">
        <v>37500</v>
      </c>
      <c r="V39" s="591">
        <v>0</v>
      </c>
      <c r="W39" s="591">
        <v>25000</v>
      </c>
      <c r="X39" s="146"/>
      <c r="Y39" s="729"/>
      <c r="Z39" s="723"/>
      <c r="AA39" s="146"/>
      <c r="AB39" s="146"/>
      <c r="AC39" s="146"/>
      <c r="AD39" s="146"/>
      <c r="AE39" s="146"/>
      <c r="AF39" s="146"/>
      <c r="AG39" s="710"/>
      <c r="AH39" s="146"/>
      <c r="AI39" s="146"/>
      <c r="AJ39" s="146"/>
      <c r="AK39" s="724"/>
      <c r="AL39" s="860" t="str">
        <f t="shared" si="14"/>
        <v>Si</v>
      </c>
      <c r="AM39" s="862">
        <f t="shared" si="15"/>
        <v>125000</v>
      </c>
      <c r="AN39" s="415">
        <f t="shared" si="3"/>
        <v>125000</v>
      </c>
    </row>
    <row r="40" spans="2:40" ht="28.8" x14ac:dyDescent="0.3">
      <c r="B40" s="397" t="s">
        <v>169</v>
      </c>
      <c r="C40" s="435" t="s">
        <v>170</v>
      </c>
      <c r="D40" s="435"/>
      <c r="E40" s="435"/>
      <c r="F40" s="435"/>
      <c r="G40" s="925">
        <v>0</v>
      </c>
      <c r="H40" s="435"/>
      <c r="I40" s="515" t="s">
        <v>171</v>
      </c>
      <c r="J40" s="387">
        <v>40000</v>
      </c>
      <c r="K40" s="414">
        <v>40000</v>
      </c>
      <c r="L40" s="49">
        <v>46262</v>
      </c>
      <c r="M40" s="421">
        <v>46535</v>
      </c>
      <c r="N40" s="711"/>
      <c r="O40" s="710"/>
      <c r="P40" s="710"/>
      <c r="Q40" s="710"/>
      <c r="R40" s="710"/>
      <c r="S40" s="710"/>
      <c r="T40" s="710"/>
      <c r="U40" s="591">
        <v>8000</v>
      </c>
      <c r="V40" s="591">
        <v>0</v>
      </c>
      <c r="W40" s="591">
        <v>0</v>
      </c>
      <c r="X40" s="591">
        <v>0</v>
      </c>
      <c r="Y40" s="716">
        <v>16000</v>
      </c>
      <c r="Z40" s="597">
        <v>0</v>
      </c>
      <c r="AA40" s="591">
        <v>0</v>
      </c>
      <c r="AB40" s="591">
        <v>0</v>
      </c>
      <c r="AC40" s="591">
        <v>0</v>
      </c>
      <c r="AD40" s="591">
        <v>16000</v>
      </c>
      <c r="AE40" s="710"/>
      <c r="AF40" s="710"/>
      <c r="AG40" s="710"/>
      <c r="AH40" s="710"/>
      <c r="AI40" s="710"/>
      <c r="AJ40" s="710"/>
      <c r="AK40" s="712"/>
      <c r="AL40" s="860" t="str">
        <f t="shared" si="14"/>
        <v>Si</v>
      </c>
      <c r="AM40" s="862">
        <f t="shared" si="15"/>
        <v>40000</v>
      </c>
      <c r="AN40" s="415">
        <f t="shared" si="3"/>
        <v>40000</v>
      </c>
    </row>
    <row r="41" spans="2:40" ht="28.8" x14ac:dyDescent="0.3">
      <c r="B41" s="397" t="s">
        <v>169</v>
      </c>
      <c r="C41" s="435" t="s">
        <v>170</v>
      </c>
      <c r="D41" s="435"/>
      <c r="E41" s="435"/>
      <c r="F41" s="435"/>
      <c r="G41" s="925">
        <v>0</v>
      </c>
      <c r="H41" s="435"/>
      <c r="I41" s="515" t="s">
        <v>172</v>
      </c>
      <c r="J41" s="387">
        <v>200000</v>
      </c>
      <c r="K41" s="414">
        <v>125000</v>
      </c>
      <c r="L41" s="49">
        <v>46315</v>
      </c>
      <c r="M41" s="421">
        <v>46495</v>
      </c>
      <c r="N41" s="711"/>
      <c r="O41" s="710"/>
      <c r="P41" s="710"/>
      <c r="Q41" s="710"/>
      <c r="R41" s="710"/>
      <c r="S41" s="710"/>
      <c r="T41" s="710"/>
      <c r="U41" s="710"/>
      <c r="V41" s="710"/>
      <c r="W41" s="710"/>
      <c r="X41" s="710"/>
      <c r="Y41" s="730"/>
      <c r="Z41" s="597">
        <v>25000</v>
      </c>
      <c r="AA41" s="591">
        <v>0</v>
      </c>
      <c r="AB41" s="716">
        <v>0</v>
      </c>
      <c r="AC41" s="591">
        <v>75000</v>
      </c>
      <c r="AD41" s="591">
        <v>0</v>
      </c>
      <c r="AE41" s="591">
        <v>0</v>
      </c>
      <c r="AF41" s="591">
        <v>25000</v>
      </c>
      <c r="AG41" s="710"/>
      <c r="AH41" s="710"/>
      <c r="AI41" s="710"/>
      <c r="AJ41" s="710"/>
      <c r="AK41" s="712"/>
      <c r="AL41" s="860" t="str">
        <f t="shared" si="14"/>
        <v>Si</v>
      </c>
      <c r="AM41" s="862">
        <f t="shared" si="15"/>
        <v>125000</v>
      </c>
      <c r="AN41" s="415">
        <f t="shared" si="3"/>
        <v>125000</v>
      </c>
    </row>
    <row r="42" spans="2:40" ht="28.8" x14ac:dyDescent="0.3">
      <c r="B42" s="397" t="s">
        <v>169</v>
      </c>
      <c r="C42" s="435" t="s">
        <v>173</v>
      </c>
      <c r="D42" s="435"/>
      <c r="E42" s="435"/>
      <c r="F42" s="435"/>
      <c r="G42" s="925">
        <v>0</v>
      </c>
      <c r="H42" s="435"/>
      <c r="I42" s="405" t="s">
        <v>174</v>
      </c>
      <c r="J42" s="387">
        <v>200000</v>
      </c>
      <c r="K42" s="414">
        <v>125000</v>
      </c>
      <c r="L42" s="436">
        <v>46178</v>
      </c>
      <c r="M42" s="421">
        <v>46358</v>
      </c>
      <c r="N42" s="711"/>
      <c r="O42" s="710"/>
      <c r="P42" s="710"/>
      <c r="Q42" s="710"/>
      <c r="R42" s="710"/>
      <c r="S42" s="710"/>
      <c r="T42" s="710"/>
      <c r="U42" s="710"/>
      <c r="V42" s="710"/>
      <c r="W42" s="591">
        <v>25000</v>
      </c>
      <c r="X42" s="591">
        <v>0</v>
      </c>
      <c r="Y42" s="716">
        <v>0</v>
      </c>
      <c r="Z42" s="597">
        <v>62500</v>
      </c>
      <c r="AA42" s="591">
        <v>0</v>
      </c>
      <c r="AB42" s="591">
        <v>0</v>
      </c>
      <c r="AC42" s="591">
        <v>0</v>
      </c>
      <c r="AD42" s="591">
        <v>37500</v>
      </c>
      <c r="AE42" s="710"/>
      <c r="AF42" s="710"/>
      <c r="AG42" s="710"/>
      <c r="AH42" s="710"/>
      <c r="AI42" s="710"/>
      <c r="AJ42" s="710"/>
      <c r="AK42" s="712"/>
      <c r="AL42" s="860" t="str">
        <f t="shared" si="14"/>
        <v>Si</v>
      </c>
      <c r="AM42" s="862">
        <f t="shared" si="15"/>
        <v>125000</v>
      </c>
      <c r="AN42" s="415">
        <f t="shared" si="3"/>
        <v>125000</v>
      </c>
    </row>
    <row r="43" spans="2:40" ht="28.8" x14ac:dyDescent="0.3">
      <c r="B43" s="397" t="s">
        <v>169</v>
      </c>
      <c r="C43" s="435" t="s">
        <v>175</v>
      </c>
      <c r="D43" s="435"/>
      <c r="E43" s="435"/>
      <c r="F43" s="435"/>
      <c r="G43" s="925">
        <v>0</v>
      </c>
      <c r="H43" s="435"/>
      <c r="I43" s="405" t="s">
        <v>176</v>
      </c>
      <c r="J43" s="387">
        <v>200000</v>
      </c>
      <c r="K43" s="414">
        <v>125000</v>
      </c>
      <c r="L43" s="436">
        <v>46178</v>
      </c>
      <c r="M43" s="421">
        <v>46358</v>
      </c>
      <c r="N43" s="711"/>
      <c r="O43" s="710"/>
      <c r="P43" s="710"/>
      <c r="Q43" s="710"/>
      <c r="R43" s="710"/>
      <c r="S43" s="710"/>
      <c r="T43" s="710"/>
      <c r="U43" s="710"/>
      <c r="V43" s="710"/>
      <c r="W43" s="591">
        <v>25000</v>
      </c>
      <c r="X43" s="591">
        <v>0</v>
      </c>
      <c r="Y43" s="716">
        <v>0</v>
      </c>
      <c r="Z43" s="597">
        <v>62500</v>
      </c>
      <c r="AA43" s="591">
        <v>0</v>
      </c>
      <c r="AB43" s="591">
        <v>0</v>
      </c>
      <c r="AC43" s="591">
        <v>0</v>
      </c>
      <c r="AD43" s="591">
        <v>37500</v>
      </c>
      <c r="AE43" s="710"/>
      <c r="AF43" s="710"/>
      <c r="AG43" s="710"/>
      <c r="AH43" s="710"/>
      <c r="AI43" s="710"/>
      <c r="AJ43" s="710"/>
      <c r="AK43" s="712"/>
      <c r="AL43" s="860" t="str">
        <f t="shared" si="14"/>
        <v>Si</v>
      </c>
      <c r="AM43" s="862">
        <f t="shared" si="15"/>
        <v>125000</v>
      </c>
      <c r="AN43" s="415">
        <f t="shared" si="3"/>
        <v>125000</v>
      </c>
    </row>
    <row r="44" spans="2:40" ht="28.8" x14ac:dyDescent="0.3">
      <c r="B44" s="397" t="s">
        <v>169</v>
      </c>
      <c r="C44" s="435" t="s">
        <v>173</v>
      </c>
      <c r="D44" s="435"/>
      <c r="E44" s="435"/>
      <c r="F44" s="435"/>
      <c r="G44" s="925">
        <v>0</v>
      </c>
      <c r="H44" s="435"/>
      <c r="I44" s="405" t="s">
        <v>177</v>
      </c>
      <c r="J44" s="387">
        <v>35000</v>
      </c>
      <c r="K44" s="414">
        <v>35000</v>
      </c>
      <c r="L44" s="436">
        <v>46248</v>
      </c>
      <c r="M44" s="421">
        <v>46522</v>
      </c>
      <c r="N44" s="711"/>
      <c r="O44" s="710"/>
      <c r="P44" s="710"/>
      <c r="Q44" s="710"/>
      <c r="R44" s="710"/>
      <c r="S44" s="710"/>
      <c r="T44" s="710"/>
      <c r="U44" s="591">
        <v>7000</v>
      </c>
      <c r="V44" s="591">
        <v>0</v>
      </c>
      <c r="W44" s="591">
        <v>0</v>
      </c>
      <c r="X44" s="591">
        <v>0</v>
      </c>
      <c r="Y44" s="716">
        <v>0</v>
      </c>
      <c r="Z44" s="597">
        <v>14000</v>
      </c>
      <c r="AA44" s="591">
        <v>0</v>
      </c>
      <c r="AB44" s="591">
        <v>0</v>
      </c>
      <c r="AC44" s="591">
        <v>0</v>
      </c>
      <c r="AD44" s="591">
        <v>14000</v>
      </c>
      <c r="AE44" s="710"/>
      <c r="AF44" s="710"/>
      <c r="AG44" s="710"/>
      <c r="AH44" s="710"/>
      <c r="AI44" s="710"/>
      <c r="AJ44" s="710"/>
      <c r="AK44" s="712"/>
      <c r="AL44" s="860" t="str">
        <f t="shared" si="14"/>
        <v>Si</v>
      </c>
      <c r="AM44" s="862">
        <f t="shared" si="15"/>
        <v>35000</v>
      </c>
      <c r="AN44" s="415">
        <f t="shared" si="3"/>
        <v>35000</v>
      </c>
    </row>
    <row r="45" spans="2:40" ht="28.8" x14ac:dyDescent="0.3">
      <c r="B45" s="397" t="s">
        <v>169</v>
      </c>
      <c r="C45" s="435" t="s">
        <v>173</v>
      </c>
      <c r="D45" s="435"/>
      <c r="E45" s="435"/>
      <c r="F45" s="435"/>
      <c r="G45" s="925">
        <v>0</v>
      </c>
      <c r="H45" s="435"/>
      <c r="I45" s="405" t="s">
        <v>178</v>
      </c>
      <c r="J45" s="387">
        <v>35000</v>
      </c>
      <c r="K45" s="414">
        <v>35000</v>
      </c>
      <c r="L45" s="436">
        <v>46217</v>
      </c>
      <c r="M45" s="421">
        <v>46492</v>
      </c>
      <c r="N45" s="711"/>
      <c r="O45" s="710"/>
      <c r="P45" s="710"/>
      <c r="Q45" s="710"/>
      <c r="R45" s="710"/>
      <c r="S45" s="710"/>
      <c r="T45" s="710"/>
      <c r="U45" s="710"/>
      <c r="V45" s="710"/>
      <c r="W45" s="710"/>
      <c r="X45" s="710"/>
      <c r="Y45" s="730"/>
      <c r="Z45" s="597">
        <v>3500</v>
      </c>
      <c r="AA45" s="591">
        <v>3500</v>
      </c>
      <c r="AB45" s="591">
        <v>3500</v>
      </c>
      <c r="AC45" s="591">
        <v>3500</v>
      </c>
      <c r="AD45" s="591">
        <v>3500</v>
      </c>
      <c r="AE45" s="591">
        <v>3500</v>
      </c>
      <c r="AF45" s="591">
        <v>3500</v>
      </c>
      <c r="AG45" s="591">
        <v>3500</v>
      </c>
      <c r="AH45" s="591">
        <v>3500</v>
      </c>
      <c r="AI45" s="591">
        <v>3500</v>
      </c>
      <c r="AJ45" s="710"/>
      <c r="AK45" s="712"/>
      <c r="AL45" s="860" t="str">
        <f t="shared" si="14"/>
        <v>Si</v>
      </c>
      <c r="AM45" s="862">
        <f t="shared" si="15"/>
        <v>35000</v>
      </c>
      <c r="AN45" s="415">
        <f t="shared" si="3"/>
        <v>35000</v>
      </c>
    </row>
    <row r="46" spans="2:40" ht="28.8" x14ac:dyDescent="0.3">
      <c r="B46" s="397" t="s">
        <v>179</v>
      </c>
      <c r="C46" s="435" t="s">
        <v>173</v>
      </c>
      <c r="D46" s="435"/>
      <c r="E46" s="435"/>
      <c r="F46" s="435"/>
      <c r="G46" s="924">
        <v>1</v>
      </c>
      <c r="H46" s="931"/>
      <c r="I46" s="405" t="s">
        <v>180</v>
      </c>
      <c r="J46" s="387">
        <v>35000</v>
      </c>
      <c r="K46" s="414">
        <v>35000</v>
      </c>
      <c r="L46" s="436">
        <v>46252</v>
      </c>
      <c r="M46" s="421">
        <v>46523</v>
      </c>
      <c r="N46" s="723"/>
      <c r="O46" s="146"/>
      <c r="P46" s="146"/>
      <c r="Q46" s="146"/>
      <c r="R46" s="146"/>
      <c r="S46" s="146"/>
      <c r="T46" s="146"/>
      <c r="U46" s="710"/>
      <c r="V46" s="710"/>
      <c r="W46" s="710"/>
      <c r="X46" s="710"/>
      <c r="Y46" s="730"/>
      <c r="Z46" s="597">
        <v>7000</v>
      </c>
      <c r="AA46" s="591">
        <v>0</v>
      </c>
      <c r="AB46" s="591">
        <v>0</v>
      </c>
      <c r="AC46" s="591">
        <v>0</v>
      </c>
      <c r="AD46" s="591">
        <v>0</v>
      </c>
      <c r="AE46" s="850">
        <v>14000</v>
      </c>
      <c r="AF46" s="591">
        <v>0</v>
      </c>
      <c r="AG46" s="591">
        <v>0</v>
      </c>
      <c r="AH46" s="591">
        <v>0</v>
      </c>
      <c r="AI46" s="591">
        <v>14000</v>
      </c>
      <c r="AJ46" s="146"/>
      <c r="AK46" s="724"/>
      <c r="AL46" s="860" t="str">
        <f t="shared" si="14"/>
        <v>Si</v>
      </c>
      <c r="AM46" s="862">
        <f t="shared" si="15"/>
        <v>35000</v>
      </c>
      <c r="AN46" s="415">
        <f t="shared" si="3"/>
        <v>35000</v>
      </c>
    </row>
    <row r="47" spans="2:40" ht="28.8" x14ac:dyDescent="0.3">
      <c r="B47" s="397" t="s">
        <v>144</v>
      </c>
      <c r="C47" s="435" t="s">
        <v>173</v>
      </c>
      <c r="D47" s="435"/>
      <c r="E47" s="435"/>
      <c r="F47" s="435"/>
      <c r="G47" s="924">
        <v>1</v>
      </c>
      <c r="H47" s="931"/>
      <c r="I47" s="405" t="s">
        <v>181</v>
      </c>
      <c r="J47" s="387">
        <v>10000</v>
      </c>
      <c r="K47" s="387">
        <v>10000</v>
      </c>
      <c r="L47" s="436">
        <v>46027</v>
      </c>
      <c r="M47" s="421">
        <v>46207</v>
      </c>
      <c r="N47" s="591">
        <v>2000</v>
      </c>
      <c r="O47" s="591">
        <v>0</v>
      </c>
      <c r="P47" s="591">
        <v>0</v>
      </c>
      <c r="Q47" s="591">
        <v>5000</v>
      </c>
      <c r="R47" s="591">
        <v>0</v>
      </c>
      <c r="S47" s="591">
        <v>0</v>
      </c>
      <c r="T47" s="591">
        <v>3000</v>
      </c>
      <c r="U47" s="710"/>
      <c r="V47" s="710"/>
      <c r="W47" s="710"/>
      <c r="X47" s="146"/>
      <c r="Y47" s="729"/>
      <c r="Z47" s="723"/>
      <c r="AA47" s="146"/>
      <c r="AB47" s="146"/>
      <c r="AC47" s="146"/>
      <c r="AD47" s="146"/>
      <c r="AE47" s="146"/>
      <c r="AF47" s="146"/>
      <c r="AG47" s="146"/>
      <c r="AH47" s="146"/>
      <c r="AI47" s="146"/>
      <c r="AJ47" s="146"/>
      <c r="AK47" s="724"/>
      <c r="AL47" s="860" t="str">
        <f t="shared" si="14"/>
        <v>Si</v>
      </c>
      <c r="AM47" s="862">
        <f t="shared" si="15"/>
        <v>10000</v>
      </c>
      <c r="AN47" s="415">
        <f t="shared" si="3"/>
        <v>10000</v>
      </c>
    </row>
    <row r="48" spans="2:40" ht="28.8" x14ac:dyDescent="0.3">
      <c r="B48" s="397" t="s">
        <v>182</v>
      </c>
      <c r="C48" s="435" t="s">
        <v>173</v>
      </c>
      <c r="D48" s="435"/>
      <c r="E48" s="435"/>
      <c r="F48" s="435"/>
      <c r="G48" s="925">
        <v>0</v>
      </c>
      <c r="H48" s="932"/>
      <c r="I48" s="405" t="s">
        <v>183</v>
      </c>
      <c r="J48" s="387">
        <v>48000</v>
      </c>
      <c r="K48" s="387">
        <v>48000</v>
      </c>
      <c r="L48" s="436">
        <v>46092</v>
      </c>
      <c r="M48" s="421">
        <v>46272</v>
      </c>
      <c r="N48" s="723"/>
      <c r="O48" s="146"/>
      <c r="P48" s="146"/>
      <c r="Q48" s="146"/>
      <c r="R48" s="146"/>
      <c r="S48" s="146"/>
      <c r="T48" s="146"/>
      <c r="U48" s="146"/>
      <c r="V48" s="146"/>
      <c r="W48" s="146"/>
      <c r="X48" s="146"/>
      <c r="Y48" s="729"/>
      <c r="Z48" s="597">
        <v>6857.1428571428569</v>
      </c>
      <c r="AA48" s="591">
        <v>6857.1428571428569</v>
      </c>
      <c r="AB48" s="591">
        <v>6857.1428571428569</v>
      </c>
      <c r="AC48" s="591">
        <v>6857.1428571428569</v>
      </c>
      <c r="AD48" s="591">
        <v>6857.1428571428569</v>
      </c>
      <c r="AE48" s="591">
        <v>6857.1428571428569</v>
      </c>
      <c r="AF48" s="591">
        <v>6857.1428571428569</v>
      </c>
      <c r="AG48" s="146"/>
      <c r="AH48" s="146"/>
      <c r="AI48" s="146"/>
      <c r="AJ48" s="146"/>
      <c r="AK48" s="724"/>
      <c r="AL48" s="860" t="str">
        <f t="shared" si="14"/>
        <v>Si</v>
      </c>
      <c r="AM48" s="862">
        <f t="shared" si="15"/>
        <v>47999.999999999993</v>
      </c>
      <c r="AN48" s="415">
        <f t="shared" si="3"/>
        <v>47999.999999999993</v>
      </c>
    </row>
    <row r="49" spans="2:40" ht="28.8" x14ac:dyDescent="0.3">
      <c r="B49" s="407" t="s">
        <v>197</v>
      </c>
      <c r="C49" s="435" t="s">
        <v>58</v>
      </c>
      <c r="D49" s="435"/>
      <c r="E49" s="435"/>
      <c r="F49" s="435"/>
      <c r="G49" s="925">
        <v>0</v>
      </c>
      <c r="H49" s="932"/>
      <c r="I49" s="405" t="s">
        <v>199</v>
      </c>
      <c r="J49" s="406">
        <v>55000</v>
      </c>
      <c r="K49" s="406">
        <v>55000</v>
      </c>
      <c r="L49" s="436">
        <v>46227</v>
      </c>
      <c r="M49" s="421">
        <v>46498</v>
      </c>
      <c r="N49" s="723"/>
      <c r="O49" s="146"/>
      <c r="P49" s="146"/>
      <c r="Q49" s="146"/>
      <c r="R49" s="146"/>
      <c r="S49" s="146"/>
      <c r="T49" s="146"/>
      <c r="U49" s="146"/>
      <c r="V49" s="146"/>
      <c r="W49" s="146"/>
      <c r="X49" s="146"/>
      <c r="Y49" s="724"/>
      <c r="Z49" s="850">
        <v>5500</v>
      </c>
      <c r="AA49" s="591">
        <v>5500</v>
      </c>
      <c r="AB49" s="591">
        <v>5500</v>
      </c>
      <c r="AC49" s="591">
        <v>5500</v>
      </c>
      <c r="AD49" s="591">
        <v>5500</v>
      </c>
      <c r="AE49" s="591">
        <v>5500</v>
      </c>
      <c r="AF49" s="591">
        <v>5500</v>
      </c>
      <c r="AG49" s="591">
        <v>5500</v>
      </c>
      <c r="AH49" s="591">
        <v>5500</v>
      </c>
      <c r="AI49" s="591">
        <v>5500</v>
      </c>
      <c r="AJ49" s="146"/>
      <c r="AK49" s="724"/>
      <c r="AL49" s="860" t="str">
        <f t="shared" ref="AL49:AL54" si="16">IF(SUM(N49:AK49)=K49,"Si","No")</f>
        <v>Si</v>
      </c>
      <c r="AM49" s="862">
        <f t="shared" ref="AM49:AM54" si="17">+SUM(N49:AK49)</f>
        <v>55000</v>
      </c>
      <c r="AN49" s="415">
        <f t="shared" si="3"/>
        <v>55000</v>
      </c>
    </row>
    <row r="50" spans="2:40" ht="28.8" x14ac:dyDescent="0.3">
      <c r="B50" s="407" t="s">
        <v>197</v>
      </c>
      <c r="C50" s="435" t="s">
        <v>58</v>
      </c>
      <c r="D50" s="435"/>
      <c r="E50" s="435"/>
      <c r="F50" s="435"/>
      <c r="G50" s="925">
        <v>0</v>
      </c>
      <c r="H50" s="932"/>
      <c r="I50" s="405" t="s">
        <v>200</v>
      </c>
      <c r="J50" s="406">
        <v>25000</v>
      </c>
      <c r="K50" s="406">
        <v>25000</v>
      </c>
      <c r="L50" s="436">
        <v>46297</v>
      </c>
      <c r="M50" s="421">
        <v>46537</v>
      </c>
      <c r="N50" s="723"/>
      <c r="O50" s="146"/>
      <c r="P50" s="146"/>
      <c r="Q50" s="146"/>
      <c r="R50" s="146"/>
      <c r="S50" s="146"/>
      <c r="T50" s="146"/>
      <c r="U50" s="146"/>
      <c r="V50" s="146"/>
      <c r="W50" s="710"/>
      <c r="X50" s="710"/>
      <c r="Y50" s="712"/>
      <c r="Z50" s="850">
        <v>3125</v>
      </c>
      <c r="AA50" s="591">
        <v>3125</v>
      </c>
      <c r="AB50" s="591">
        <v>3125</v>
      </c>
      <c r="AC50" s="591">
        <v>3125</v>
      </c>
      <c r="AD50" s="591">
        <v>3125</v>
      </c>
      <c r="AE50" s="591">
        <v>3125</v>
      </c>
      <c r="AF50" s="591">
        <v>3125</v>
      </c>
      <c r="AG50" s="591">
        <v>3125</v>
      </c>
      <c r="AH50" s="146"/>
      <c r="AI50" s="146"/>
      <c r="AJ50" s="146"/>
      <c r="AK50" s="724"/>
      <c r="AL50" s="860" t="str">
        <f t="shared" si="16"/>
        <v>Si</v>
      </c>
      <c r="AM50" s="862">
        <f t="shared" si="17"/>
        <v>25000</v>
      </c>
      <c r="AN50" s="415">
        <f t="shared" si="3"/>
        <v>25000</v>
      </c>
    </row>
    <row r="51" spans="2:40" ht="28.8" x14ac:dyDescent="0.3">
      <c r="B51" s="407" t="s">
        <v>197</v>
      </c>
      <c r="C51" s="435" t="s">
        <v>58</v>
      </c>
      <c r="D51" s="435"/>
      <c r="E51" s="435"/>
      <c r="F51" s="435"/>
      <c r="G51" s="925">
        <v>0</v>
      </c>
      <c r="H51" s="932"/>
      <c r="I51" s="405" t="s">
        <v>201</v>
      </c>
      <c r="J51" s="406">
        <v>30000</v>
      </c>
      <c r="K51" s="406">
        <v>30000</v>
      </c>
      <c r="L51" s="436">
        <v>46259</v>
      </c>
      <c r="M51" s="421">
        <v>46532</v>
      </c>
      <c r="N51" s="723"/>
      <c r="O51" s="146"/>
      <c r="P51" s="146"/>
      <c r="Q51" s="146"/>
      <c r="R51" s="146"/>
      <c r="S51" s="146"/>
      <c r="T51" s="146"/>
      <c r="U51" s="146"/>
      <c r="V51" s="146"/>
      <c r="W51" s="146"/>
      <c r="X51" s="146"/>
      <c r="Y51" s="724"/>
      <c r="Z51" s="850">
        <v>3000</v>
      </c>
      <c r="AA51" s="591">
        <v>3000</v>
      </c>
      <c r="AB51" s="591">
        <v>3000</v>
      </c>
      <c r="AC51" s="591">
        <v>3000</v>
      </c>
      <c r="AD51" s="591">
        <v>3000</v>
      </c>
      <c r="AE51" s="591">
        <v>3000</v>
      </c>
      <c r="AF51" s="591">
        <v>3000</v>
      </c>
      <c r="AG51" s="591">
        <v>3000</v>
      </c>
      <c r="AH51" s="591">
        <v>3000</v>
      </c>
      <c r="AI51" s="591">
        <v>3000</v>
      </c>
      <c r="AJ51" s="146"/>
      <c r="AK51" s="724"/>
      <c r="AL51" s="860" t="str">
        <f t="shared" si="16"/>
        <v>Si</v>
      </c>
      <c r="AM51" s="862">
        <f t="shared" si="17"/>
        <v>30000</v>
      </c>
      <c r="AN51" s="415">
        <f t="shared" si="3"/>
        <v>30000</v>
      </c>
    </row>
    <row r="52" spans="2:40" ht="43.2" x14ac:dyDescent="0.3">
      <c r="B52" s="407" t="s">
        <v>197</v>
      </c>
      <c r="C52" s="435" t="s">
        <v>58</v>
      </c>
      <c r="D52" s="435"/>
      <c r="E52" s="435"/>
      <c r="F52" s="435"/>
      <c r="G52" s="924">
        <v>1</v>
      </c>
      <c r="H52" s="931"/>
      <c r="I52" s="405" t="s">
        <v>202</v>
      </c>
      <c r="J52" s="406">
        <v>30000</v>
      </c>
      <c r="K52" s="406">
        <v>30000</v>
      </c>
      <c r="L52" s="436">
        <v>46208</v>
      </c>
      <c r="M52" s="421">
        <v>46499</v>
      </c>
      <c r="N52" s="723"/>
      <c r="O52" s="146"/>
      <c r="P52" s="146"/>
      <c r="Q52" s="146"/>
      <c r="R52" s="146"/>
      <c r="S52" s="146"/>
      <c r="T52" s="591">
        <v>6000</v>
      </c>
      <c r="U52" s="591">
        <v>0</v>
      </c>
      <c r="V52" s="591">
        <v>0</v>
      </c>
      <c r="W52" s="591">
        <v>0</v>
      </c>
      <c r="X52" s="591">
        <v>12000</v>
      </c>
      <c r="Y52" s="598">
        <v>0</v>
      </c>
      <c r="Z52" s="850">
        <v>0</v>
      </c>
      <c r="AA52" s="591">
        <v>0</v>
      </c>
      <c r="AB52" s="591">
        <v>0</v>
      </c>
      <c r="AC52" s="591">
        <v>12000</v>
      </c>
      <c r="AD52" s="146"/>
      <c r="AE52" s="146"/>
      <c r="AF52" s="146"/>
      <c r="AG52" s="146"/>
      <c r="AH52" s="146"/>
      <c r="AI52" s="146"/>
      <c r="AJ52" s="146"/>
      <c r="AK52" s="724"/>
      <c r="AL52" s="860" t="str">
        <f t="shared" si="16"/>
        <v>Si</v>
      </c>
      <c r="AM52" s="862">
        <f t="shared" si="17"/>
        <v>30000</v>
      </c>
      <c r="AN52" s="415">
        <f t="shared" si="3"/>
        <v>30000</v>
      </c>
    </row>
    <row r="53" spans="2:40" ht="28.8" x14ac:dyDescent="0.3">
      <c r="B53" s="407" t="s">
        <v>197</v>
      </c>
      <c r="C53" s="435" t="s">
        <v>203</v>
      </c>
      <c r="D53" s="435"/>
      <c r="E53" s="435"/>
      <c r="F53" s="435"/>
      <c r="G53" s="924">
        <v>1</v>
      </c>
      <c r="H53" s="931"/>
      <c r="I53" s="405" t="s">
        <v>204</v>
      </c>
      <c r="J53" s="406">
        <v>25000</v>
      </c>
      <c r="K53" s="406">
        <v>25000</v>
      </c>
      <c r="L53" s="436">
        <v>46148</v>
      </c>
      <c r="M53" s="421">
        <v>46328</v>
      </c>
      <c r="N53" s="723"/>
      <c r="O53" s="146"/>
      <c r="P53" s="146"/>
      <c r="Q53" s="146"/>
      <c r="R53" s="591">
        <v>3571.4285714285716</v>
      </c>
      <c r="S53" s="591">
        <v>3571.4285714285716</v>
      </c>
      <c r="T53" s="591">
        <v>3571.4285714285716</v>
      </c>
      <c r="U53" s="591">
        <v>3571.4285714285716</v>
      </c>
      <c r="V53" s="591">
        <v>3571.4285714285716</v>
      </c>
      <c r="W53" s="591">
        <v>3571.4285714285716</v>
      </c>
      <c r="X53" s="591">
        <v>3571.4285714285716</v>
      </c>
      <c r="Y53" s="724"/>
      <c r="Z53" s="849"/>
      <c r="AA53" s="146"/>
      <c r="AB53" s="146"/>
      <c r="AC53" s="146"/>
      <c r="AD53" s="146"/>
      <c r="AE53" s="146"/>
      <c r="AF53" s="146"/>
      <c r="AG53" s="146"/>
      <c r="AH53" s="146"/>
      <c r="AI53" s="146"/>
      <c r="AJ53" s="146"/>
      <c r="AK53" s="724"/>
      <c r="AL53" s="860" t="str">
        <f t="shared" si="16"/>
        <v>Si</v>
      </c>
      <c r="AM53" s="862">
        <f t="shared" si="17"/>
        <v>25000.000000000004</v>
      </c>
      <c r="AN53" s="415">
        <f t="shared" si="3"/>
        <v>25000.000000000004</v>
      </c>
    </row>
    <row r="54" spans="2:40" ht="28.8" x14ac:dyDescent="0.3">
      <c r="B54" s="407" t="s">
        <v>197</v>
      </c>
      <c r="C54" s="435" t="s">
        <v>58</v>
      </c>
      <c r="D54" s="435"/>
      <c r="E54" s="435"/>
      <c r="F54" s="435"/>
      <c r="G54" s="925">
        <v>0</v>
      </c>
      <c r="H54" s="932"/>
      <c r="I54" s="405" t="s">
        <v>205</v>
      </c>
      <c r="J54" s="387">
        <v>280000</v>
      </c>
      <c r="K54" s="387">
        <v>150000</v>
      </c>
      <c r="L54" s="436">
        <v>46178</v>
      </c>
      <c r="M54" s="421">
        <v>46328</v>
      </c>
      <c r="N54" s="723"/>
      <c r="O54" s="146"/>
      <c r="P54" s="146"/>
      <c r="Q54" s="146"/>
      <c r="R54" s="146"/>
      <c r="S54" s="591">
        <v>30000</v>
      </c>
      <c r="T54" s="591">
        <v>0</v>
      </c>
      <c r="U54" s="591">
        <v>45000</v>
      </c>
      <c r="V54" s="591">
        <v>45000</v>
      </c>
      <c r="W54" s="591">
        <v>0</v>
      </c>
      <c r="X54" s="591">
        <v>30000</v>
      </c>
      <c r="Y54" s="724"/>
      <c r="Z54" s="849"/>
      <c r="AA54" s="146"/>
      <c r="AB54" s="146"/>
      <c r="AC54" s="146"/>
      <c r="AD54" s="146"/>
      <c r="AE54" s="146"/>
      <c r="AF54" s="146"/>
      <c r="AG54" s="146"/>
      <c r="AH54" s="146"/>
      <c r="AI54" s="146"/>
      <c r="AJ54" s="146"/>
      <c r="AK54" s="724"/>
      <c r="AL54" s="860" t="str">
        <f t="shared" si="16"/>
        <v>Si</v>
      </c>
      <c r="AM54" s="862">
        <f t="shared" si="17"/>
        <v>150000</v>
      </c>
      <c r="AN54" s="415">
        <f t="shared" si="3"/>
        <v>150000</v>
      </c>
    </row>
    <row r="55" spans="2:40" ht="28.8" x14ac:dyDescent="0.3">
      <c r="B55" s="435" t="s">
        <v>1489</v>
      </c>
      <c r="C55" s="160"/>
      <c r="D55" s="160"/>
      <c r="E55" s="160"/>
      <c r="F55" s="160"/>
      <c r="G55" s="925">
        <v>0</v>
      </c>
      <c r="H55" s="932"/>
      <c r="I55" s="515" t="s">
        <v>1490</v>
      </c>
      <c r="J55" s="406">
        <v>3500</v>
      </c>
      <c r="K55" s="406">
        <v>3500</v>
      </c>
      <c r="L55" s="36">
        <v>46082</v>
      </c>
      <c r="M55" s="901">
        <v>46112</v>
      </c>
      <c r="N55" s="723"/>
      <c r="O55" s="146"/>
      <c r="P55" s="591">
        <v>3500</v>
      </c>
      <c r="Q55" s="146"/>
      <c r="R55" s="146"/>
      <c r="S55" s="146"/>
      <c r="T55" s="146"/>
      <c r="U55" s="146"/>
      <c r="V55" s="146"/>
      <c r="W55" s="146"/>
      <c r="X55" s="146"/>
      <c r="Y55" s="724"/>
      <c r="Z55" s="849"/>
      <c r="AA55" s="146"/>
      <c r="AB55" s="146"/>
      <c r="AC55" s="146"/>
      <c r="AD55" s="146"/>
      <c r="AE55" s="146"/>
      <c r="AF55" s="146"/>
      <c r="AG55" s="146"/>
      <c r="AH55" s="146"/>
      <c r="AI55" s="146"/>
      <c r="AJ55" s="146"/>
      <c r="AK55" s="724"/>
      <c r="AL55" s="860" t="str">
        <f t="shared" ref="AL55" si="18">IF(SUM(N55:AK55)=K55,"Si","No")</f>
        <v>Si</v>
      </c>
      <c r="AM55" s="862">
        <f t="shared" ref="AM55" si="19">+SUM(N55:AK55)</f>
        <v>3500</v>
      </c>
      <c r="AN55" s="415">
        <f t="shared" si="3"/>
        <v>3500</v>
      </c>
    </row>
    <row r="56" spans="2:40" ht="57.6" x14ac:dyDescent="0.3">
      <c r="B56" s="407" t="s">
        <v>207</v>
      </c>
      <c r="C56" s="435" t="s">
        <v>209</v>
      </c>
      <c r="D56" s="435"/>
      <c r="E56" s="435"/>
      <c r="F56" s="435"/>
      <c r="G56" s="924">
        <v>1</v>
      </c>
      <c r="H56" s="931"/>
      <c r="I56" s="405" t="s">
        <v>210</v>
      </c>
      <c r="J56" s="406">
        <v>350000</v>
      </c>
      <c r="K56" s="406">
        <v>350000</v>
      </c>
      <c r="L56" s="436">
        <v>46032</v>
      </c>
      <c r="M56" s="421">
        <v>46092</v>
      </c>
      <c r="N56" s="723"/>
      <c r="O56" s="146"/>
      <c r="P56" s="146"/>
      <c r="Q56" s="146"/>
      <c r="R56" s="146"/>
      <c r="S56" s="146"/>
      <c r="T56" s="146"/>
      <c r="U56" s="146"/>
      <c r="V56" s="146"/>
      <c r="W56" s="146"/>
      <c r="X56" s="146"/>
      <c r="Y56" s="724"/>
      <c r="Z56" s="850">
        <v>116666.66666666667</v>
      </c>
      <c r="AA56" s="591">
        <v>116666.66666666667</v>
      </c>
      <c r="AB56" s="591">
        <v>116666.66666666667</v>
      </c>
      <c r="AC56" s="146"/>
      <c r="AD56" s="146"/>
      <c r="AE56" s="146"/>
      <c r="AF56" s="146"/>
      <c r="AG56" s="146"/>
      <c r="AH56" s="146"/>
      <c r="AI56" s="146"/>
      <c r="AJ56" s="146"/>
      <c r="AK56" s="724"/>
      <c r="AL56" s="860" t="str">
        <f t="shared" ref="AL56:AL59" si="20">IF(SUM(N56:AK56)=K56,"Si","No")</f>
        <v>Si</v>
      </c>
      <c r="AM56" s="862">
        <f t="shared" ref="AM56:AM59" si="21">+SUM(N56:AK56)</f>
        <v>350000</v>
      </c>
      <c r="AN56" s="415">
        <f t="shared" si="3"/>
        <v>350000</v>
      </c>
    </row>
    <row r="57" spans="2:40" ht="28.8" x14ac:dyDescent="0.3">
      <c r="B57" s="407" t="s">
        <v>207</v>
      </c>
      <c r="C57" s="435" t="s">
        <v>211</v>
      </c>
      <c r="D57" s="435"/>
      <c r="E57" s="435"/>
      <c r="F57" s="435"/>
      <c r="G57" s="924">
        <v>1</v>
      </c>
      <c r="H57" s="931"/>
      <c r="I57" s="405" t="s">
        <v>212</v>
      </c>
      <c r="J57" s="406">
        <v>350000</v>
      </c>
      <c r="K57" s="406">
        <v>350000</v>
      </c>
      <c r="L57" s="436">
        <v>46080</v>
      </c>
      <c r="M57" s="421">
        <v>46260</v>
      </c>
      <c r="N57" s="723"/>
      <c r="O57" s="591">
        <v>50000</v>
      </c>
      <c r="P57" s="591">
        <v>50000</v>
      </c>
      <c r="Q57" s="591">
        <v>50000</v>
      </c>
      <c r="R57" s="591">
        <v>50000</v>
      </c>
      <c r="S57" s="591">
        <v>50000</v>
      </c>
      <c r="T57" s="591">
        <v>50000</v>
      </c>
      <c r="U57" s="591">
        <v>50000</v>
      </c>
      <c r="V57" s="146"/>
      <c r="W57" s="146"/>
      <c r="X57" s="146"/>
      <c r="Y57" s="724"/>
      <c r="Z57" s="849"/>
      <c r="AA57" s="146"/>
      <c r="AB57" s="146"/>
      <c r="AC57" s="146"/>
      <c r="AD57" s="146"/>
      <c r="AE57" s="146"/>
      <c r="AF57" s="146"/>
      <c r="AG57" s="146"/>
      <c r="AH57" s="146"/>
      <c r="AI57" s="146"/>
      <c r="AJ57" s="146"/>
      <c r="AK57" s="724"/>
      <c r="AL57" s="860" t="str">
        <f t="shared" si="20"/>
        <v>Si</v>
      </c>
      <c r="AM57" s="862">
        <f t="shared" si="21"/>
        <v>350000</v>
      </c>
      <c r="AN57" s="415">
        <f t="shared" si="3"/>
        <v>350000</v>
      </c>
    </row>
    <row r="58" spans="2:40" x14ac:dyDescent="0.3">
      <c r="B58" s="407" t="s">
        <v>207</v>
      </c>
      <c r="C58" s="435" t="s">
        <v>213</v>
      </c>
      <c r="D58" s="435"/>
      <c r="E58" s="435"/>
      <c r="F58" s="435"/>
      <c r="G58" s="925">
        <v>0</v>
      </c>
      <c r="H58" s="932"/>
      <c r="I58" s="405" t="s">
        <v>214</v>
      </c>
      <c r="J58" s="406">
        <v>163000</v>
      </c>
      <c r="K58" s="406">
        <v>100000</v>
      </c>
      <c r="L58" s="436">
        <v>46025</v>
      </c>
      <c r="M58" s="421">
        <v>46386</v>
      </c>
      <c r="N58" s="711"/>
      <c r="O58" s="710"/>
      <c r="P58" s="710"/>
      <c r="Q58" s="710"/>
      <c r="R58" s="710"/>
      <c r="S58" s="710"/>
      <c r="T58" s="710"/>
      <c r="U58" s="710"/>
      <c r="V58" s="710"/>
      <c r="W58" s="710"/>
      <c r="X58" s="710"/>
      <c r="Y58" s="712"/>
      <c r="Z58" s="850">
        <v>8333.3333333333339</v>
      </c>
      <c r="AA58" s="591">
        <v>8333.3333333333339</v>
      </c>
      <c r="AB58" s="591">
        <v>8333.3333333333339</v>
      </c>
      <c r="AC58" s="591">
        <v>8333.3333333333339</v>
      </c>
      <c r="AD58" s="591">
        <v>8333.3333333333339</v>
      </c>
      <c r="AE58" s="591">
        <v>8333.3333333333339</v>
      </c>
      <c r="AF58" s="591">
        <v>8333.3333333333339</v>
      </c>
      <c r="AG58" s="591">
        <v>8333.3333333333339</v>
      </c>
      <c r="AH58" s="591">
        <v>8333.3333333333339</v>
      </c>
      <c r="AI58" s="591">
        <v>8333.3333333333339</v>
      </c>
      <c r="AJ58" s="591">
        <v>8333.3333333333339</v>
      </c>
      <c r="AK58" s="598">
        <v>8333.3333333333339</v>
      </c>
      <c r="AL58" s="860" t="str">
        <f t="shared" si="20"/>
        <v>Si</v>
      </c>
      <c r="AM58" s="862">
        <f t="shared" si="21"/>
        <v>99999.999999999985</v>
      </c>
      <c r="AN58" s="415">
        <f t="shared" si="3"/>
        <v>99999.999999999985</v>
      </c>
    </row>
    <row r="59" spans="2:40" ht="28.8" x14ac:dyDescent="0.3">
      <c r="B59" s="407" t="s">
        <v>207</v>
      </c>
      <c r="C59" s="435" t="s">
        <v>211</v>
      </c>
      <c r="D59" s="435"/>
      <c r="E59" s="435"/>
      <c r="F59" s="435"/>
      <c r="G59" s="925">
        <v>0</v>
      </c>
      <c r="H59" s="932"/>
      <c r="I59" s="405" t="s">
        <v>215</v>
      </c>
      <c r="J59" s="406">
        <v>200000</v>
      </c>
      <c r="K59" s="406">
        <v>125000</v>
      </c>
      <c r="L59" s="436">
        <v>46392</v>
      </c>
      <c r="M59" s="421">
        <v>46540</v>
      </c>
      <c r="N59" s="723"/>
      <c r="O59" s="146"/>
      <c r="P59" s="146"/>
      <c r="Q59" s="146"/>
      <c r="R59" s="146"/>
      <c r="S59" s="146"/>
      <c r="T59" s="146"/>
      <c r="U59" s="146"/>
      <c r="V59" s="146"/>
      <c r="W59" s="146"/>
      <c r="X59" s="146"/>
      <c r="Y59" s="724"/>
      <c r="Z59" s="591">
        <v>17857.142857142859</v>
      </c>
      <c r="AA59" s="591">
        <v>17857.142857142859</v>
      </c>
      <c r="AB59" s="591">
        <v>17857.142857142859</v>
      </c>
      <c r="AC59" s="591">
        <v>17857.142857142859</v>
      </c>
      <c r="AD59" s="591">
        <v>17857.142857142859</v>
      </c>
      <c r="AE59" s="591">
        <v>17857.142857142859</v>
      </c>
      <c r="AF59" s="591">
        <v>17857.142857142859</v>
      </c>
      <c r="AG59" s="710"/>
      <c r="AH59" s="710"/>
      <c r="AI59" s="146"/>
      <c r="AJ59" s="146"/>
      <c r="AK59" s="724"/>
      <c r="AL59" s="860" t="str">
        <f t="shared" si="20"/>
        <v>Si</v>
      </c>
      <c r="AM59" s="862">
        <f t="shared" si="21"/>
        <v>125000</v>
      </c>
      <c r="AN59" s="415">
        <f t="shared" si="3"/>
        <v>125000</v>
      </c>
    </row>
    <row r="60" spans="2:40" x14ac:dyDescent="0.3">
      <c r="B60" s="407" t="s">
        <v>221</v>
      </c>
      <c r="C60" s="435" t="s">
        <v>223</v>
      </c>
      <c r="D60" s="435"/>
      <c r="E60" s="435"/>
      <c r="F60" s="435"/>
      <c r="G60" s="925">
        <v>0</v>
      </c>
      <c r="H60" s="932"/>
      <c r="I60" s="405" t="s">
        <v>224</v>
      </c>
      <c r="J60" s="406">
        <v>150000</v>
      </c>
      <c r="K60" s="409">
        <v>100000</v>
      </c>
      <c r="L60" s="436">
        <v>46115</v>
      </c>
      <c r="M60" s="421">
        <v>46295</v>
      </c>
      <c r="N60" s="723"/>
      <c r="O60" s="146"/>
      <c r="P60" s="146"/>
      <c r="Q60" s="591">
        <v>16666.666666666668</v>
      </c>
      <c r="R60" s="591">
        <v>16666.666666666668</v>
      </c>
      <c r="S60" s="591">
        <v>16666.666666666668</v>
      </c>
      <c r="T60" s="591">
        <v>16666.666666666668</v>
      </c>
      <c r="U60" s="591">
        <v>16666.666666666668</v>
      </c>
      <c r="V60" s="591">
        <v>16666.666666666668</v>
      </c>
      <c r="W60" s="146"/>
      <c r="X60" s="146"/>
      <c r="Y60" s="724"/>
      <c r="Z60" s="849"/>
      <c r="AA60" s="146"/>
      <c r="AB60" s="146"/>
      <c r="AC60" s="146"/>
      <c r="AD60" s="146"/>
      <c r="AE60" s="146"/>
      <c r="AF60" s="146"/>
      <c r="AG60" s="146"/>
      <c r="AH60" s="146"/>
      <c r="AI60" s="146"/>
      <c r="AJ60" s="146"/>
      <c r="AK60" s="724"/>
      <c r="AL60" s="860" t="str">
        <f t="shared" ref="AL60:AL66" si="22">IF(SUM(N60:AK60)=K60,"Si","No")</f>
        <v>Si</v>
      </c>
      <c r="AM60" s="862">
        <f t="shared" ref="AM60:AM66" si="23">+SUM(N60:AK60)</f>
        <v>100000.00000000001</v>
      </c>
      <c r="AN60" s="415">
        <f t="shared" si="3"/>
        <v>100000.00000000001</v>
      </c>
    </row>
    <row r="61" spans="2:40" ht="43.2" x14ac:dyDescent="0.3">
      <c r="B61" s="407" t="s">
        <v>221</v>
      </c>
      <c r="C61" s="435" t="s">
        <v>225</v>
      </c>
      <c r="D61" s="435"/>
      <c r="E61" s="435"/>
      <c r="F61" s="435"/>
      <c r="G61" s="924">
        <v>1</v>
      </c>
      <c r="H61" s="931"/>
      <c r="I61" s="405" t="s">
        <v>226</v>
      </c>
      <c r="J61" s="406">
        <v>45000</v>
      </c>
      <c r="K61" s="409">
        <v>45000</v>
      </c>
      <c r="L61" s="436">
        <v>46081</v>
      </c>
      <c r="M61" s="421">
        <v>46468</v>
      </c>
      <c r="N61" s="723"/>
      <c r="O61" s="591">
        <v>9000</v>
      </c>
      <c r="P61" s="591">
        <v>0</v>
      </c>
      <c r="Q61" s="591">
        <v>0</v>
      </c>
      <c r="R61" s="591">
        <v>0</v>
      </c>
      <c r="S61" s="591">
        <v>0</v>
      </c>
      <c r="T61" s="591">
        <v>0</v>
      </c>
      <c r="U61" s="591">
        <v>0</v>
      </c>
      <c r="V61" s="591">
        <v>18000</v>
      </c>
      <c r="W61" s="591">
        <v>0</v>
      </c>
      <c r="X61" s="591">
        <v>0</v>
      </c>
      <c r="Y61" s="598">
        <v>0</v>
      </c>
      <c r="Z61" s="850">
        <v>0</v>
      </c>
      <c r="AA61" s="591">
        <v>0</v>
      </c>
      <c r="AB61" s="591">
        <v>18000</v>
      </c>
      <c r="AC61" s="146"/>
      <c r="AD61" s="146"/>
      <c r="AE61" s="146"/>
      <c r="AF61" s="146"/>
      <c r="AG61" s="146"/>
      <c r="AH61" s="146"/>
      <c r="AI61" s="146"/>
      <c r="AJ61" s="146"/>
      <c r="AK61" s="724"/>
      <c r="AL61" s="860" t="str">
        <f t="shared" si="22"/>
        <v>Si</v>
      </c>
      <c r="AM61" s="862">
        <f t="shared" si="23"/>
        <v>45000</v>
      </c>
      <c r="AN61" s="415">
        <f t="shared" si="3"/>
        <v>45000</v>
      </c>
    </row>
    <row r="62" spans="2:40" ht="28.8" x14ac:dyDescent="0.3">
      <c r="B62" s="407" t="s">
        <v>221</v>
      </c>
      <c r="C62" s="435" t="s">
        <v>225</v>
      </c>
      <c r="D62" s="435"/>
      <c r="E62" s="435"/>
      <c r="F62" s="435"/>
      <c r="G62" s="924">
        <v>1</v>
      </c>
      <c r="H62" s="931"/>
      <c r="I62" s="405" t="s">
        <v>227</v>
      </c>
      <c r="J62" s="406">
        <v>100000</v>
      </c>
      <c r="K62" s="409">
        <v>100000</v>
      </c>
      <c r="L62" s="436">
        <v>46054</v>
      </c>
      <c r="M62" s="421">
        <v>46482</v>
      </c>
      <c r="N62" s="723"/>
      <c r="O62" s="591">
        <v>20000</v>
      </c>
      <c r="P62" s="591">
        <v>0</v>
      </c>
      <c r="Q62" s="591">
        <v>0</v>
      </c>
      <c r="R62" s="591">
        <v>0</v>
      </c>
      <c r="S62" s="591">
        <v>0</v>
      </c>
      <c r="T62" s="591">
        <v>0</v>
      </c>
      <c r="U62" s="591">
        <v>0</v>
      </c>
      <c r="V62" s="591">
        <v>40000</v>
      </c>
      <c r="W62" s="591">
        <v>0</v>
      </c>
      <c r="X62" s="591">
        <v>0</v>
      </c>
      <c r="Y62" s="598">
        <v>0</v>
      </c>
      <c r="Z62" s="850">
        <v>0</v>
      </c>
      <c r="AA62" s="591">
        <v>0</v>
      </c>
      <c r="AB62" s="591">
        <v>0</v>
      </c>
      <c r="AC62" s="591">
        <v>40000</v>
      </c>
      <c r="AD62" s="146"/>
      <c r="AE62" s="146"/>
      <c r="AF62" s="146"/>
      <c r="AG62" s="146"/>
      <c r="AH62" s="146"/>
      <c r="AI62" s="146"/>
      <c r="AJ62" s="146"/>
      <c r="AK62" s="724"/>
      <c r="AL62" s="860" t="str">
        <f t="shared" si="22"/>
        <v>Si</v>
      </c>
      <c r="AM62" s="862">
        <f t="shared" si="23"/>
        <v>100000</v>
      </c>
      <c r="AN62" s="415">
        <f t="shared" si="3"/>
        <v>100000</v>
      </c>
    </row>
    <row r="63" spans="2:40" ht="28.8" x14ac:dyDescent="0.3">
      <c r="B63" s="407" t="s">
        <v>221</v>
      </c>
      <c r="C63" s="435" t="s">
        <v>225</v>
      </c>
      <c r="D63" s="435"/>
      <c r="E63" s="435"/>
      <c r="F63" s="435"/>
      <c r="G63" s="924">
        <v>1</v>
      </c>
      <c r="H63" s="931"/>
      <c r="I63" s="405" t="s">
        <v>228</v>
      </c>
      <c r="J63" s="406">
        <v>19200</v>
      </c>
      <c r="K63" s="409">
        <v>19200</v>
      </c>
      <c r="L63" s="436">
        <v>46073</v>
      </c>
      <c r="M63" s="421">
        <v>46253</v>
      </c>
      <c r="N63" s="723"/>
      <c r="O63" s="146"/>
      <c r="P63" s="146"/>
      <c r="Q63" s="146"/>
      <c r="R63" s="146"/>
      <c r="S63" s="146"/>
      <c r="T63" s="146"/>
      <c r="U63" s="146"/>
      <c r="V63" s="146"/>
      <c r="W63" s="146"/>
      <c r="X63" s="146"/>
      <c r="Y63" s="724"/>
      <c r="Z63" s="849"/>
      <c r="AA63" s="591">
        <v>3840</v>
      </c>
      <c r="AB63" s="591"/>
      <c r="AC63" s="591">
        <v>4000</v>
      </c>
      <c r="AD63" s="591"/>
      <c r="AE63" s="591">
        <v>7360</v>
      </c>
      <c r="AF63" s="591"/>
      <c r="AG63" s="591">
        <v>4000</v>
      </c>
      <c r="AH63" s="146"/>
      <c r="AI63" s="146"/>
      <c r="AJ63" s="146"/>
      <c r="AK63" s="724"/>
      <c r="AL63" s="860" t="str">
        <f t="shared" si="22"/>
        <v>Si</v>
      </c>
      <c r="AM63" s="862">
        <f t="shared" si="23"/>
        <v>19200</v>
      </c>
      <c r="AN63" s="415">
        <f t="shared" si="3"/>
        <v>19200</v>
      </c>
    </row>
    <row r="64" spans="2:40" ht="43.2" x14ac:dyDescent="0.3">
      <c r="B64" s="407" t="s">
        <v>221</v>
      </c>
      <c r="C64" s="435" t="s">
        <v>225</v>
      </c>
      <c r="D64" s="435"/>
      <c r="E64" s="435"/>
      <c r="F64" s="435"/>
      <c r="G64" s="924">
        <v>1</v>
      </c>
      <c r="H64" s="931"/>
      <c r="I64" s="405" t="s">
        <v>229</v>
      </c>
      <c r="J64" s="406">
        <v>250000</v>
      </c>
      <c r="K64" s="409">
        <v>250000</v>
      </c>
      <c r="L64" s="436">
        <v>46171</v>
      </c>
      <c r="M64" s="421">
        <v>46351</v>
      </c>
      <c r="N64" s="723"/>
      <c r="O64" s="146"/>
      <c r="P64" s="146"/>
      <c r="Q64" s="146"/>
      <c r="R64" s="591">
        <v>35714.285714285717</v>
      </c>
      <c r="S64" s="591">
        <v>35714.285714285717</v>
      </c>
      <c r="T64" s="591">
        <v>35714.285714285703</v>
      </c>
      <c r="U64" s="591">
        <v>35714.285714285717</v>
      </c>
      <c r="V64" s="591">
        <v>35714.285714285717</v>
      </c>
      <c r="W64" s="591">
        <v>35714.285714285717</v>
      </c>
      <c r="X64" s="591">
        <v>35714.285714285717</v>
      </c>
      <c r="Y64" s="724"/>
      <c r="Z64" s="849"/>
      <c r="AA64" s="146"/>
      <c r="AB64" s="146"/>
      <c r="AC64" s="146"/>
      <c r="AD64" s="146"/>
      <c r="AE64" s="146"/>
      <c r="AF64" s="146"/>
      <c r="AG64" s="146"/>
      <c r="AH64" s="146"/>
      <c r="AI64" s="146"/>
      <c r="AJ64" s="146"/>
      <c r="AK64" s="724"/>
      <c r="AL64" s="860" t="str">
        <f t="shared" si="22"/>
        <v>Si</v>
      </c>
      <c r="AM64" s="862">
        <f t="shared" si="23"/>
        <v>249999.99999999997</v>
      </c>
      <c r="AN64" s="415">
        <f t="shared" si="3"/>
        <v>249999.99999999997</v>
      </c>
    </row>
    <row r="65" spans="2:40" ht="28.8" x14ac:dyDescent="0.3">
      <c r="B65" s="407" t="s">
        <v>221</v>
      </c>
      <c r="C65" s="435" t="s">
        <v>225</v>
      </c>
      <c r="D65" s="435"/>
      <c r="E65" s="435"/>
      <c r="F65" s="435"/>
      <c r="G65" s="924">
        <v>1</v>
      </c>
      <c r="H65" s="931"/>
      <c r="I65" s="405" t="s">
        <v>227</v>
      </c>
      <c r="J65" s="406">
        <v>100000</v>
      </c>
      <c r="K65" s="409">
        <v>100000</v>
      </c>
      <c r="L65" s="436">
        <v>46119</v>
      </c>
      <c r="M65" s="421">
        <v>46482</v>
      </c>
      <c r="N65" s="723"/>
      <c r="O65" s="146"/>
      <c r="P65" s="146"/>
      <c r="Q65" s="591">
        <v>20000</v>
      </c>
      <c r="R65" s="591">
        <v>0</v>
      </c>
      <c r="S65" s="591">
        <v>0</v>
      </c>
      <c r="T65" s="591">
        <v>0</v>
      </c>
      <c r="U65" s="591">
        <v>0</v>
      </c>
      <c r="V65" s="591">
        <v>0</v>
      </c>
      <c r="W65" s="591">
        <v>40000</v>
      </c>
      <c r="X65" s="591">
        <v>0</v>
      </c>
      <c r="Y65" s="598">
        <v>0</v>
      </c>
      <c r="Z65" s="850">
        <v>0</v>
      </c>
      <c r="AA65" s="591">
        <v>0</v>
      </c>
      <c r="AB65" s="591">
        <v>0</v>
      </c>
      <c r="AC65" s="591">
        <v>40000</v>
      </c>
      <c r="AD65" s="146"/>
      <c r="AE65" s="146"/>
      <c r="AF65" s="146"/>
      <c r="AG65" s="146"/>
      <c r="AH65" s="146"/>
      <c r="AI65" s="146"/>
      <c r="AJ65" s="146"/>
      <c r="AK65" s="724"/>
      <c r="AL65" s="860" t="str">
        <f t="shared" si="22"/>
        <v>Si</v>
      </c>
      <c r="AM65" s="862">
        <f t="shared" si="23"/>
        <v>100000</v>
      </c>
      <c r="AN65" s="415">
        <f t="shared" si="3"/>
        <v>100000</v>
      </c>
    </row>
    <row r="66" spans="2:40" ht="28.8" x14ac:dyDescent="0.3">
      <c r="B66" s="407" t="s">
        <v>221</v>
      </c>
      <c r="C66" s="435" t="s">
        <v>223</v>
      </c>
      <c r="D66" s="435"/>
      <c r="E66" s="435"/>
      <c r="F66" s="435"/>
      <c r="G66" s="924">
        <v>1</v>
      </c>
      <c r="H66" s="931"/>
      <c r="I66" s="405" t="s">
        <v>230</v>
      </c>
      <c r="J66" s="406">
        <v>25000</v>
      </c>
      <c r="K66" s="409">
        <v>25000</v>
      </c>
      <c r="L66" s="437">
        <v>46057</v>
      </c>
      <c r="M66" s="421">
        <v>46237</v>
      </c>
      <c r="N66" s="723"/>
      <c r="O66" s="591">
        <v>3571.4285714285716</v>
      </c>
      <c r="P66" s="591">
        <v>3571.4285714285716</v>
      </c>
      <c r="Q66" s="591">
        <v>3571.4285714285716</v>
      </c>
      <c r="R66" s="591">
        <v>3571.4285714285716</v>
      </c>
      <c r="S66" s="591">
        <v>3571.4285714285716</v>
      </c>
      <c r="T66" s="591">
        <v>3571.4285714285716</v>
      </c>
      <c r="U66" s="591">
        <v>3571.4285714285716</v>
      </c>
      <c r="V66" s="146"/>
      <c r="W66" s="146"/>
      <c r="X66" s="146"/>
      <c r="Y66" s="724"/>
      <c r="Z66" s="849"/>
      <c r="AA66" s="146"/>
      <c r="AB66" s="146"/>
      <c r="AC66" s="146"/>
      <c r="AD66" s="146"/>
      <c r="AE66" s="146"/>
      <c r="AF66" s="146"/>
      <c r="AG66" s="146"/>
      <c r="AH66" s="146"/>
      <c r="AI66" s="146"/>
      <c r="AJ66" s="146"/>
      <c r="AK66" s="724"/>
      <c r="AL66" s="860" t="str">
        <f t="shared" si="22"/>
        <v>Si</v>
      </c>
      <c r="AM66" s="862">
        <f t="shared" si="23"/>
        <v>25000.000000000004</v>
      </c>
      <c r="AN66" s="415">
        <f t="shared" si="3"/>
        <v>25000.000000000004</v>
      </c>
    </row>
    <row r="67" spans="2:40" s="491" customFormat="1" ht="43.2" x14ac:dyDescent="0.3">
      <c r="B67" s="407" t="s">
        <v>240</v>
      </c>
      <c r="C67" s="435" t="s">
        <v>241</v>
      </c>
      <c r="D67" s="435"/>
      <c r="E67" s="435"/>
      <c r="F67" s="435"/>
      <c r="G67" s="925">
        <v>0</v>
      </c>
      <c r="H67" s="932"/>
      <c r="I67" s="405" t="s">
        <v>242</v>
      </c>
      <c r="J67" s="406">
        <v>50000</v>
      </c>
      <c r="K67" s="409">
        <v>50000</v>
      </c>
      <c r="L67" s="436">
        <v>46113</v>
      </c>
      <c r="M67" s="421">
        <v>46326</v>
      </c>
      <c r="N67" s="725"/>
      <c r="O67" s="718"/>
      <c r="P67" s="718"/>
      <c r="Q67" s="591">
        <v>7142.8571428571431</v>
      </c>
      <c r="R67" s="591">
        <v>7142.8571428571431</v>
      </c>
      <c r="S67" s="591">
        <v>7142.8571428571431</v>
      </c>
      <c r="T67" s="591">
        <v>7142.8571428571431</v>
      </c>
      <c r="U67" s="591">
        <v>7142.8571428571431</v>
      </c>
      <c r="V67" s="591">
        <v>7142.8571428571431</v>
      </c>
      <c r="W67" s="591">
        <v>7142.8571428571431</v>
      </c>
      <c r="X67" s="718"/>
      <c r="Y67" s="726"/>
      <c r="Z67" s="725"/>
      <c r="AA67" s="718"/>
      <c r="AB67" s="718"/>
      <c r="AC67" s="718"/>
      <c r="AD67" s="718"/>
      <c r="AE67" s="718"/>
      <c r="AF67" s="718"/>
      <c r="AG67" s="718"/>
      <c r="AH67" s="718"/>
      <c r="AI67" s="718"/>
      <c r="AJ67" s="718"/>
      <c r="AK67" s="726"/>
      <c r="AL67" s="860" t="str">
        <f t="shared" ref="AL67:AL89" si="24">IF(SUM(N67:AK67)=K67,"Si","No")</f>
        <v>Si</v>
      </c>
      <c r="AM67" s="862">
        <f t="shared" ref="AM67:AM89" si="25">+SUM(N67:AK67)</f>
        <v>50000.000000000007</v>
      </c>
      <c r="AN67" s="415">
        <f t="shared" si="3"/>
        <v>50000.000000000007</v>
      </c>
    </row>
    <row r="68" spans="2:40" s="491" customFormat="1" ht="28.8" x14ac:dyDescent="0.3">
      <c r="B68" s="407" t="s">
        <v>240</v>
      </c>
      <c r="C68" s="435" t="s">
        <v>241</v>
      </c>
      <c r="D68" s="435"/>
      <c r="E68" s="435"/>
      <c r="F68" s="435"/>
      <c r="G68" s="925">
        <v>0</v>
      </c>
      <c r="H68" s="932"/>
      <c r="I68" s="405" t="s">
        <v>243</v>
      </c>
      <c r="J68" s="406">
        <v>100000</v>
      </c>
      <c r="K68" s="409">
        <v>100000</v>
      </c>
      <c r="L68" s="436">
        <v>46235</v>
      </c>
      <c r="M68" s="421">
        <v>46599</v>
      </c>
      <c r="N68" s="725"/>
      <c r="O68" s="718"/>
      <c r="P68" s="718"/>
      <c r="Q68" s="718"/>
      <c r="R68" s="718"/>
      <c r="S68" s="718"/>
      <c r="T68" s="718"/>
      <c r="U68" s="591">
        <v>20000</v>
      </c>
      <c r="V68" s="591">
        <v>0</v>
      </c>
      <c r="W68" s="591">
        <v>0</v>
      </c>
      <c r="X68" s="591">
        <v>0</v>
      </c>
      <c r="Y68" s="598">
        <v>0</v>
      </c>
      <c r="Z68" s="597">
        <v>40000</v>
      </c>
      <c r="AA68" s="591">
        <v>0</v>
      </c>
      <c r="AB68" s="591">
        <v>0</v>
      </c>
      <c r="AC68" s="591">
        <v>0</v>
      </c>
      <c r="AD68" s="591">
        <v>20000</v>
      </c>
      <c r="AE68" s="591">
        <v>0</v>
      </c>
      <c r="AF68" s="591">
        <v>20000</v>
      </c>
      <c r="AG68" s="718"/>
      <c r="AH68" s="718"/>
      <c r="AI68" s="718"/>
      <c r="AJ68" s="718"/>
      <c r="AK68" s="726"/>
      <c r="AL68" s="860" t="str">
        <f t="shared" si="24"/>
        <v>Si</v>
      </c>
      <c r="AM68" s="862">
        <f t="shared" si="25"/>
        <v>100000</v>
      </c>
      <c r="AN68" s="415">
        <f t="shared" si="3"/>
        <v>100000</v>
      </c>
    </row>
    <row r="69" spans="2:40" s="491" customFormat="1" x14ac:dyDescent="0.3">
      <c r="B69" s="407" t="s">
        <v>240</v>
      </c>
      <c r="C69" s="435" t="s">
        <v>241</v>
      </c>
      <c r="D69" s="435"/>
      <c r="E69" s="435"/>
      <c r="F69" s="435"/>
      <c r="G69" s="924">
        <v>1</v>
      </c>
      <c r="H69" s="931"/>
      <c r="I69" s="405" t="s">
        <v>251</v>
      </c>
      <c r="J69" s="406">
        <v>100000</v>
      </c>
      <c r="K69" s="409">
        <v>80000</v>
      </c>
      <c r="L69" s="437">
        <v>45839</v>
      </c>
      <c r="M69" s="421">
        <v>46752</v>
      </c>
      <c r="N69" s="597">
        <f>+K69/24</f>
        <v>3333.3333333333335</v>
      </c>
      <c r="O69" s="591">
        <v>3333.3333333333335</v>
      </c>
      <c r="P69" s="591">
        <v>3333.3333333333335</v>
      </c>
      <c r="Q69" s="591">
        <v>3333.3333333333335</v>
      </c>
      <c r="R69" s="591">
        <v>3333.3333333333335</v>
      </c>
      <c r="S69" s="591">
        <v>3333.3333333333335</v>
      </c>
      <c r="T69" s="591">
        <v>3333.3333333333335</v>
      </c>
      <c r="U69" s="591">
        <v>3333.3333333333335</v>
      </c>
      <c r="V69" s="591">
        <v>3333.3333333333335</v>
      </c>
      <c r="W69" s="591">
        <v>3333.3333333333335</v>
      </c>
      <c r="X69" s="591">
        <v>3333.3333333333335</v>
      </c>
      <c r="Y69" s="598">
        <v>3333.3333333333335</v>
      </c>
      <c r="Z69" s="597">
        <v>3333.3333333333335</v>
      </c>
      <c r="AA69" s="591">
        <v>3333.3333333333335</v>
      </c>
      <c r="AB69" s="591">
        <v>3333.3333333333335</v>
      </c>
      <c r="AC69" s="591">
        <v>3333.3333333333335</v>
      </c>
      <c r="AD69" s="591">
        <v>3333.3333333333335</v>
      </c>
      <c r="AE69" s="591">
        <v>3333.3333333333335</v>
      </c>
      <c r="AF69" s="591">
        <v>3333.3333333333335</v>
      </c>
      <c r="AG69" s="591">
        <v>3333.3333333333335</v>
      </c>
      <c r="AH69" s="591">
        <v>3333.3333333333335</v>
      </c>
      <c r="AI69" s="591">
        <v>3333.3333333333335</v>
      </c>
      <c r="AJ69" s="591">
        <v>3333.3333333333335</v>
      </c>
      <c r="AK69" s="598">
        <v>3333.3333333333335</v>
      </c>
      <c r="AL69" s="860" t="str">
        <f t="shared" si="24"/>
        <v>Si</v>
      </c>
      <c r="AM69" s="862">
        <f t="shared" si="25"/>
        <v>80000</v>
      </c>
      <c r="AN69" s="415">
        <f t="shared" si="3"/>
        <v>80000</v>
      </c>
    </row>
    <row r="70" spans="2:40" s="491" customFormat="1" ht="69" customHeight="1" x14ac:dyDescent="0.3">
      <c r="B70" s="536" t="s">
        <v>814</v>
      </c>
      <c r="C70" s="582"/>
      <c r="D70" s="435"/>
      <c r="E70" s="435"/>
      <c r="F70" s="435"/>
      <c r="G70" s="938">
        <f>+IF(F70="Si",1,0)</f>
        <v>0</v>
      </c>
      <c r="H70" s="932"/>
      <c r="I70" s="405" t="s">
        <v>268</v>
      </c>
      <c r="J70" s="406">
        <v>100000</v>
      </c>
      <c r="K70" s="409">
        <v>100000</v>
      </c>
      <c r="L70" s="531">
        <v>46204</v>
      </c>
      <c r="M70" s="532">
        <v>46752</v>
      </c>
      <c r="N70" s="711"/>
      <c r="O70" s="710"/>
      <c r="P70" s="710"/>
      <c r="Q70" s="710"/>
      <c r="R70" s="710"/>
      <c r="S70" s="710"/>
      <c r="T70" s="591">
        <v>2083.3333333333348</v>
      </c>
      <c r="U70" s="591">
        <v>2083.3333333333348</v>
      </c>
      <c r="V70" s="591">
        <v>2083.3333333333348</v>
      </c>
      <c r="W70" s="591">
        <v>2083.3333333333348</v>
      </c>
      <c r="X70" s="591">
        <v>2083.3333333333348</v>
      </c>
      <c r="Y70" s="598">
        <v>2083.3333333333348</v>
      </c>
      <c r="Z70" s="597">
        <f>6250+(12500)/12</f>
        <v>7291.666666666667</v>
      </c>
      <c r="AA70" s="591">
        <v>7291.666666666667</v>
      </c>
      <c r="AB70" s="591">
        <v>7291.666666666667</v>
      </c>
      <c r="AC70" s="591">
        <v>7291.666666666667</v>
      </c>
      <c r="AD70" s="591">
        <v>7291.666666666667</v>
      </c>
      <c r="AE70" s="591">
        <v>7291.666666666667</v>
      </c>
      <c r="AF70" s="591">
        <v>7291.666666666667</v>
      </c>
      <c r="AG70" s="591">
        <v>7291.666666666667</v>
      </c>
      <c r="AH70" s="591">
        <v>7291.666666666667</v>
      </c>
      <c r="AI70" s="591">
        <v>7291.666666666667</v>
      </c>
      <c r="AJ70" s="591">
        <v>7291.666666666667</v>
      </c>
      <c r="AK70" s="598">
        <v>7291.666666666667</v>
      </c>
      <c r="AL70" s="860" t="str">
        <f t="shared" si="24"/>
        <v>Si</v>
      </c>
      <c r="AM70" s="862">
        <f t="shared" si="25"/>
        <v>100000.00000000003</v>
      </c>
      <c r="AN70" s="415">
        <f t="shared" si="3"/>
        <v>100000.00000000003</v>
      </c>
    </row>
    <row r="71" spans="2:40" s="491" customFormat="1" ht="43.2" x14ac:dyDescent="0.3">
      <c r="B71" s="536" t="s">
        <v>814</v>
      </c>
      <c r="C71" s="582" t="s">
        <v>269</v>
      </c>
      <c r="D71" s="435"/>
      <c r="E71" s="435"/>
      <c r="F71" s="435"/>
      <c r="G71" s="938">
        <f t="shared" ref="G71:G89" si="26">+IF(F71="Si",1,0)</f>
        <v>0</v>
      </c>
      <c r="H71" s="932"/>
      <c r="I71" s="405" t="s">
        <v>270</v>
      </c>
      <c r="J71" s="406">
        <v>100000</v>
      </c>
      <c r="K71" s="409">
        <v>100000</v>
      </c>
      <c r="L71" s="531">
        <v>46388</v>
      </c>
      <c r="M71" s="532">
        <v>46752</v>
      </c>
      <c r="N71" s="711"/>
      <c r="O71" s="710"/>
      <c r="P71" s="710"/>
      <c r="Q71" s="710"/>
      <c r="R71" s="710"/>
      <c r="S71" s="710"/>
      <c r="T71" s="710"/>
      <c r="U71" s="710"/>
      <c r="V71" s="710"/>
      <c r="W71" s="710"/>
      <c r="X71" s="710"/>
      <c r="Y71" s="712"/>
      <c r="Z71" s="597">
        <v>8333.3333333333339</v>
      </c>
      <c r="AA71" s="591">
        <v>8333.3333333333339</v>
      </c>
      <c r="AB71" s="591">
        <v>8333.3333333333339</v>
      </c>
      <c r="AC71" s="591">
        <v>8333.3333333333339</v>
      </c>
      <c r="AD71" s="591">
        <v>8333.3333333333339</v>
      </c>
      <c r="AE71" s="591">
        <v>8333.3333333333339</v>
      </c>
      <c r="AF71" s="591">
        <v>8333.3333333333339</v>
      </c>
      <c r="AG71" s="591">
        <v>8333.3333333333339</v>
      </c>
      <c r="AH71" s="591">
        <v>8333.3333333333339</v>
      </c>
      <c r="AI71" s="591">
        <v>8333.3333333333339</v>
      </c>
      <c r="AJ71" s="591">
        <v>8333.3333333333339</v>
      </c>
      <c r="AK71" s="598">
        <v>8333.3333333333339</v>
      </c>
      <c r="AL71" s="860" t="str">
        <f t="shared" si="24"/>
        <v>Si</v>
      </c>
      <c r="AM71" s="862">
        <f t="shared" si="25"/>
        <v>99999.999999999985</v>
      </c>
      <c r="AN71" s="415">
        <f t="shared" si="3"/>
        <v>99999.999999999985</v>
      </c>
    </row>
    <row r="72" spans="2:40" s="491" customFormat="1" ht="28.8" x14ac:dyDescent="0.3">
      <c r="B72" s="536" t="s">
        <v>814</v>
      </c>
      <c r="C72" s="582" t="s">
        <v>269</v>
      </c>
      <c r="D72" s="435"/>
      <c r="E72" s="435"/>
      <c r="F72" s="435"/>
      <c r="G72" s="938">
        <f t="shared" si="26"/>
        <v>0</v>
      </c>
      <c r="H72" s="932"/>
      <c r="I72" s="405" t="s">
        <v>271</v>
      </c>
      <c r="J72" s="406">
        <v>50000</v>
      </c>
      <c r="K72" s="409">
        <v>50000</v>
      </c>
      <c r="L72" s="531">
        <v>46204</v>
      </c>
      <c r="M72" s="532">
        <v>46599</v>
      </c>
      <c r="N72" s="725"/>
      <c r="O72" s="718"/>
      <c r="P72" s="718"/>
      <c r="Q72" s="718"/>
      <c r="R72" s="718"/>
      <c r="S72" s="718"/>
      <c r="T72" s="591">
        <v>0</v>
      </c>
      <c r="U72" s="591">
        <v>10000</v>
      </c>
      <c r="V72" s="591">
        <v>0</v>
      </c>
      <c r="W72" s="591">
        <v>0</v>
      </c>
      <c r="X72" s="591">
        <v>0</v>
      </c>
      <c r="Y72" s="598">
        <v>20000</v>
      </c>
      <c r="Z72" s="597">
        <v>0</v>
      </c>
      <c r="AA72" s="591">
        <v>0</v>
      </c>
      <c r="AB72" s="591">
        <v>0</v>
      </c>
      <c r="AC72" s="591">
        <v>10000</v>
      </c>
      <c r="AD72" s="591">
        <v>0</v>
      </c>
      <c r="AE72" s="591">
        <v>0</v>
      </c>
      <c r="AF72" s="591">
        <v>10000</v>
      </c>
      <c r="AG72" s="718"/>
      <c r="AH72" s="718"/>
      <c r="AI72" s="718"/>
      <c r="AJ72" s="718"/>
      <c r="AK72" s="726"/>
      <c r="AL72" s="860" t="str">
        <f t="shared" si="24"/>
        <v>Si</v>
      </c>
      <c r="AM72" s="862">
        <f t="shared" si="25"/>
        <v>50000</v>
      </c>
      <c r="AN72" s="415">
        <f t="shared" si="3"/>
        <v>50000</v>
      </c>
    </row>
    <row r="73" spans="2:40" s="491" customFormat="1" ht="57.6" x14ac:dyDescent="0.3">
      <c r="B73" s="407" t="s">
        <v>1387</v>
      </c>
      <c r="C73" s="435" t="s">
        <v>241</v>
      </c>
      <c r="D73" s="435"/>
      <c r="E73" s="435"/>
      <c r="F73" s="435"/>
      <c r="G73" s="938">
        <f t="shared" si="26"/>
        <v>0</v>
      </c>
      <c r="H73" s="932"/>
      <c r="I73" s="405" t="s">
        <v>244</v>
      </c>
      <c r="J73" s="406">
        <v>50000</v>
      </c>
      <c r="K73" s="409">
        <v>50000</v>
      </c>
      <c r="L73" s="436">
        <v>46235</v>
      </c>
      <c r="M73" s="421">
        <v>46599</v>
      </c>
      <c r="N73" s="725"/>
      <c r="O73" s="718"/>
      <c r="P73" s="718"/>
      <c r="Q73" s="718"/>
      <c r="R73" s="718"/>
      <c r="S73" s="718"/>
      <c r="T73" s="718"/>
      <c r="U73" s="591">
        <v>10000</v>
      </c>
      <c r="V73" s="591">
        <v>0</v>
      </c>
      <c r="W73" s="591">
        <v>0</v>
      </c>
      <c r="X73" s="591">
        <v>0</v>
      </c>
      <c r="Y73" s="598">
        <v>0</v>
      </c>
      <c r="Z73" s="597">
        <v>20000</v>
      </c>
      <c r="AA73" s="591">
        <v>0</v>
      </c>
      <c r="AB73" s="591">
        <v>0</v>
      </c>
      <c r="AC73" s="591">
        <v>0</v>
      </c>
      <c r="AD73" s="591">
        <v>10000</v>
      </c>
      <c r="AE73" s="591">
        <v>0</v>
      </c>
      <c r="AF73" s="591">
        <v>10000</v>
      </c>
      <c r="AG73" s="718"/>
      <c r="AH73" s="718"/>
      <c r="AI73" s="718"/>
      <c r="AJ73" s="718"/>
      <c r="AK73" s="726"/>
      <c r="AL73" s="860" t="str">
        <f t="shared" si="24"/>
        <v>Si</v>
      </c>
      <c r="AM73" s="862">
        <f t="shared" si="25"/>
        <v>50000</v>
      </c>
      <c r="AN73" s="415">
        <f t="shared" si="3"/>
        <v>50000</v>
      </c>
    </row>
    <row r="74" spans="2:40" s="491" customFormat="1" ht="28.8" x14ac:dyDescent="0.3">
      <c r="B74" s="407" t="s">
        <v>1387</v>
      </c>
      <c r="C74" s="435" t="s">
        <v>241</v>
      </c>
      <c r="D74" s="435"/>
      <c r="E74" s="435"/>
      <c r="F74" s="435"/>
      <c r="G74" s="938">
        <f t="shared" si="26"/>
        <v>0</v>
      </c>
      <c r="H74" s="932"/>
      <c r="I74" s="405" t="s">
        <v>245</v>
      </c>
      <c r="J74" s="406">
        <v>50000</v>
      </c>
      <c r="K74" s="409">
        <v>50000</v>
      </c>
      <c r="L74" s="436">
        <v>46113</v>
      </c>
      <c r="M74" s="421">
        <v>46326</v>
      </c>
      <c r="N74" s="725"/>
      <c r="O74" s="718"/>
      <c r="P74" s="718"/>
      <c r="Q74" s="591">
        <v>7142.8571428571431</v>
      </c>
      <c r="R74" s="591">
        <v>7142.8571428571431</v>
      </c>
      <c r="S74" s="591">
        <v>7142.8571428571431</v>
      </c>
      <c r="T74" s="591">
        <v>7142.8571428571431</v>
      </c>
      <c r="U74" s="591">
        <v>7142.8571428571431</v>
      </c>
      <c r="V74" s="591">
        <v>7142.8571428571431</v>
      </c>
      <c r="W74" s="591">
        <v>7142.8571428571431</v>
      </c>
      <c r="X74" s="718"/>
      <c r="Y74" s="726"/>
      <c r="Z74" s="725"/>
      <c r="AA74" s="718"/>
      <c r="AB74" s="718"/>
      <c r="AC74" s="718"/>
      <c r="AD74" s="718"/>
      <c r="AE74" s="718"/>
      <c r="AF74" s="718"/>
      <c r="AG74" s="718"/>
      <c r="AH74" s="718"/>
      <c r="AI74" s="718"/>
      <c r="AJ74" s="718"/>
      <c r="AK74" s="726"/>
      <c r="AL74" s="860" t="str">
        <f>IF(SUM(N74:AK74)=K74,"Si","No")</f>
        <v>Si</v>
      </c>
      <c r="AM74" s="862">
        <f>+SUM(N74:AK74)</f>
        <v>50000.000000000007</v>
      </c>
      <c r="AN74" s="415">
        <f t="shared" si="3"/>
        <v>50000.000000000007</v>
      </c>
    </row>
    <row r="75" spans="2:40" s="491" customFormat="1" ht="28.8" x14ac:dyDescent="0.3">
      <c r="B75" s="407" t="s">
        <v>1387</v>
      </c>
      <c r="C75" s="435" t="s">
        <v>246</v>
      </c>
      <c r="D75" s="435"/>
      <c r="E75" s="435"/>
      <c r="F75" s="435"/>
      <c r="G75" s="938">
        <f t="shared" si="26"/>
        <v>0</v>
      </c>
      <c r="H75" s="932"/>
      <c r="I75" s="405" t="s">
        <v>247</v>
      </c>
      <c r="J75" s="406">
        <v>50000</v>
      </c>
      <c r="K75" s="409">
        <v>50000</v>
      </c>
      <c r="L75" s="436">
        <v>46235</v>
      </c>
      <c r="M75" s="421">
        <v>46599</v>
      </c>
      <c r="N75" s="725"/>
      <c r="O75" s="718"/>
      <c r="P75" s="718"/>
      <c r="Q75" s="718"/>
      <c r="R75" s="718"/>
      <c r="S75" s="718"/>
      <c r="T75" s="718"/>
      <c r="U75" s="591">
        <v>10000</v>
      </c>
      <c r="V75" s="591">
        <v>0</v>
      </c>
      <c r="W75" s="591">
        <v>0</v>
      </c>
      <c r="X75" s="591">
        <v>0</v>
      </c>
      <c r="Y75" s="598">
        <v>0</v>
      </c>
      <c r="Z75" s="597">
        <v>20000</v>
      </c>
      <c r="AA75" s="591">
        <v>0</v>
      </c>
      <c r="AB75" s="591">
        <v>0</v>
      </c>
      <c r="AC75" s="591">
        <v>0</v>
      </c>
      <c r="AD75" s="591">
        <v>10000</v>
      </c>
      <c r="AE75" s="591">
        <v>0</v>
      </c>
      <c r="AF75" s="591">
        <v>10000</v>
      </c>
      <c r="AG75" s="718"/>
      <c r="AH75" s="718"/>
      <c r="AI75" s="718"/>
      <c r="AJ75" s="718"/>
      <c r="AK75" s="726"/>
      <c r="AL75" s="860" t="str">
        <f t="shared" si="24"/>
        <v>Si</v>
      </c>
      <c r="AM75" s="862">
        <f t="shared" si="25"/>
        <v>50000</v>
      </c>
      <c r="AN75" s="415">
        <f t="shared" si="3"/>
        <v>50000</v>
      </c>
    </row>
    <row r="76" spans="2:40" s="491" customFormat="1" ht="43.2" x14ac:dyDescent="0.3">
      <c r="B76" s="407" t="s">
        <v>1387</v>
      </c>
      <c r="C76" s="435" t="s">
        <v>248</v>
      </c>
      <c r="D76" s="582"/>
      <c r="E76" s="582"/>
      <c r="F76" s="582"/>
      <c r="G76" s="938">
        <f t="shared" si="26"/>
        <v>0</v>
      </c>
      <c r="H76" s="935"/>
      <c r="I76" s="405" t="s">
        <v>249</v>
      </c>
      <c r="J76" s="406">
        <v>50000</v>
      </c>
      <c r="K76" s="409">
        <v>50000</v>
      </c>
      <c r="L76" s="436">
        <v>46235</v>
      </c>
      <c r="M76" s="421">
        <v>46599</v>
      </c>
      <c r="N76" s="725"/>
      <c r="O76" s="718"/>
      <c r="P76" s="718"/>
      <c r="Q76" s="718"/>
      <c r="R76" s="718"/>
      <c r="S76" s="718"/>
      <c r="T76" s="718"/>
      <c r="U76" s="591">
        <v>10000</v>
      </c>
      <c r="V76" s="591">
        <v>0</v>
      </c>
      <c r="W76" s="591">
        <v>0</v>
      </c>
      <c r="X76" s="591">
        <v>0</v>
      </c>
      <c r="Y76" s="598">
        <v>0</v>
      </c>
      <c r="Z76" s="597">
        <v>20000</v>
      </c>
      <c r="AA76" s="591">
        <v>0</v>
      </c>
      <c r="AB76" s="591">
        <v>0</v>
      </c>
      <c r="AC76" s="591">
        <v>0</v>
      </c>
      <c r="AD76" s="591">
        <v>10000</v>
      </c>
      <c r="AE76" s="591">
        <v>0</v>
      </c>
      <c r="AF76" s="591">
        <v>10000</v>
      </c>
      <c r="AG76" s="718"/>
      <c r="AH76" s="718"/>
      <c r="AI76" s="718"/>
      <c r="AJ76" s="718"/>
      <c r="AK76" s="726"/>
      <c r="AL76" s="860" t="str">
        <f t="shared" si="24"/>
        <v>Si</v>
      </c>
      <c r="AM76" s="862">
        <f t="shared" si="25"/>
        <v>50000</v>
      </c>
      <c r="AN76" s="415">
        <f t="shared" si="3"/>
        <v>50000</v>
      </c>
    </row>
    <row r="77" spans="2:40" s="491" customFormat="1" ht="28.8" x14ac:dyDescent="0.3">
      <c r="B77" s="407" t="s">
        <v>1387</v>
      </c>
      <c r="C77" s="435" t="s">
        <v>248</v>
      </c>
      <c r="D77" s="582"/>
      <c r="E77" s="582"/>
      <c r="F77" s="582"/>
      <c r="G77" s="938">
        <f t="shared" si="26"/>
        <v>0</v>
      </c>
      <c r="H77" s="935"/>
      <c r="I77" s="405" t="s">
        <v>250</v>
      </c>
      <c r="J77" s="406">
        <v>50000</v>
      </c>
      <c r="K77" s="409">
        <v>50000</v>
      </c>
      <c r="L77" s="437">
        <v>46204</v>
      </c>
      <c r="M77" s="421">
        <v>46387</v>
      </c>
      <c r="N77" s="725"/>
      <c r="O77" s="718"/>
      <c r="P77" s="718"/>
      <c r="Q77" s="718"/>
      <c r="R77" s="718"/>
      <c r="S77" s="718"/>
      <c r="T77" s="591">
        <v>8333.3333333333339</v>
      </c>
      <c r="U77" s="591">
        <v>8333.3333333333339</v>
      </c>
      <c r="V77" s="591">
        <v>8333.3333333333339</v>
      </c>
      <c r="W77" s="591">
        <v>8333.3333333333339</v>
      </c>
      <c r="X77" s="591">
        <v>8333.3333333333339</v>
      </c>
      <c r="Y77" s="598">
        <v>8333.3333333333339</v>
      </c>
      <c r="Z77" s="725"/>
      <c r="AA77" s="718"/>
      <c r="AB77" s="718"/>
      <c r="AC77" s="718"/>
      <c r="AD77" s="718"/>
      <c r="AE77" s="718"/>
      <c r="AF77" s="718"/>
      <c r="AG77" s="718"/>
      <c r="AH77" s="718"/>
      <c r="AI77" s="718"/>
      <c r="AJ77" s="718"/>
      <c r="AK77" s="726"/>
      <c r="AL77" s="860" t="str">
        <f t="shared" si="24"/>
        <v>Si</v>
      </c>
      <c r="AM77" s="862">
        <f t="shared" si="25"/>
        <v>50000.000000000007</v>
      </c>
      <c r="AN77" s="415">
        <f t="shared" si="3"/>
        <v>50000.000000000007</v>
      </c>
    </row>
    <row r="78" spans="2:40" s="491" customFormat="1" ht="28.8" x14ac:dyDescent="0.3">
      <c r="B78" s="407" t="s">
        <v>1387</v>
      </c>
      <c r="C78" s="435" t="s">
        <v>252</v>
      </c>
      <c r="D78" s="582"/>
      <c r="E78" s="582"/>
      <c r="F78" s="582"/>
      <c r="G78" s="938">
        <f t="shared" si="26"/>
        <v>0</v>
      </c>
      <c r="H78" s="935"/>
      <c r="I78" s="405" t="s">
        <v>253</v>
      </c>
      <c r="J78" s="406">
        <v>150000</v>
      </c>
      <c r="K78" s="409">
        <v>150000</v>
      </c>
      <c r="L78" s="437">
        <v>46235</v>
      </c>
      <c r="M78" s="421" t="s">
        <v>254</v>
      </c>
      <c r="N78" s="725"/>
      <c r="O78" s="718"/>
      <c r="P78" s="718"/>
      <c r="Q78" s="718"/>
      <c r="R78" s="718"/>
      <c r="S78" s="718"/>
      <c r="T78" s="718"/>
      <c r="U78" s="591">
        <v>35000</v>
      </c>
      <c r="V78" s="591">
        <v>0</v>
      </c>
      <c r="W78" s="591">
        <v>0</v>
      </c>
      <c r="X78" s="591">
        <v>0</v>
      </c>
      <c r="Y78" s="598">
        <v>0</v>
      </c>
      <c r="Z78" s="597">
        <v>25000</v>
      </c>
      <c r="AA78" s="591">
        <v>0</v>
      </c>
      <c r="AB78" s="591">
        <v>0</v>
      </c>
      <c r="AC78" s="591">
        <v>0</v>
      </c>
      <c r="AD78" s="591">
        <v>45000</v>
      </c>
      <c r="AE78" s="591">
        <v>0</v>
      </c>
      <c r="AF78" s="591">
        <v>45000</v>
      </c>
      <c r="AG78" s="718"/>
      <c r="AH78" s="718"/>
      <c r="AI78" s="718"/>
      <c r="AJ78" s="718"/>
      <c r="AK78" s="726"/>
      <c r="AL78" s="860" t="str">
        <f t="shared" si="24"/>
        <v>Si</v>
      </c>
      <c r="AM78" s="862">
        <f t="shared" si="25"/>
        <v>150000</v>
      </c>
      <c r="AN78" s="415">
        <f t="shared" si="3"/>
        <v>150000</v>
      </c>
    </row>
    <row r="79" spans="2:40" s="491" customFormat="1" ht="28.8" x14ac:dyDescent="0.3">
      <c r="B79" s="536" t="s">
        <v>1387</v>
      </c>
      <c r="C79" s="582" t="s">
        <v>255</v>
      </c>
      <c r="D79" s="582"/>
      <c r="E79" s="582"/>
      <c r="F79" s="582"/>
      <c r="G79" s="938">
        <f t="shared" si="26"/>
        <v>0</v>
      </c>
      <c r="H79" s="935"/>
      <c r="I79" s="405" t="s">
        <v>256</v>
      </c>
      <c r="J79" s="406">
        <v>175000</v>
      </c>
      <c r="K79" s="409">
        <v>175000</v>
      </c>
      <c r="L79" s="531">
        <v>46235</v>
      </c>
      <c r="M79" s="532">
        <v>46599</v>
      </c>
      <c r="N79" s="725"/>
      <c r="O79" s="718"/>
      <c r="P79" s="718"/>
      <c r="Q79" s="718"/>
      <c r="R79" s="718"/>
      <c r="S79" s="718"/>
      <c r="T79" s="718"/>
      <c r="U79" s="591">
        <v>35000</v>
      </c>
      <c r="V79" s="591">
        <v>0</v>
      </c>
      <c r="W79" s="591">
        <v>0</v>
      </c>
      <c r="X79" s="591">
        <v>0</v>
      </c>
      <c r="Y79" s="598">
        <v>0</v>
      </c>
      <c r="Z79" s="597">
        <v>50000</v>
      </c>
      <c r="AA79" s="591">
        <v>0</v>
      </c>
      <c r="AB79" s="591">
        <v>0</v>
      </c>
      <c r="AC79" s="591">
        <v>0</v>
      </c>
      <c r="AD79" s="591">
        <v>45000</v>
      </c>
      <c r="AE79" s="591">
        <v>0</v>
      </c>
      <c r="AF79" s="591">
        <v>45000</v>
      </c>
      <c r="AG79" s="718"/>
      <c r="AH79" s="718"/>
      <c r="AI79" s="718"/>
      <c r="AJ79" s="718"/>
      <c r="AK79" s="726"/>
      <c r="AL79" s="860" t="str">
        <f t="shared" si="24"/>
        <v>Si</v>
      </c>
      <c r="AM79" s="862">
        <f t="shared" si="25"/>
        <v>175000</v>
      </c>
      <c r="AN79" s="415">
        <f t="shared" si="3"/>
        <v>175000</v>
      </c>
    </row>
    <row r="80" spans="2:40" s="491" customFormat="1" x14ac:dyDescent="0.3">
      <c r="B80" s="536" t="s">
        <v>1387</v>
      </c>
      <c r="C80" s="582" t="s">
        <v>255</v>
      </c>
      <c r="D80" s="582"/>
      <c r="E80" s="582"/>
      <c r="F80" s="582"/>
      <c r="G80" s="938">
        <f t="shared" si="26"/>
        <v>0</v>
      </c>
      <c r="H80" s="935"/>
      <c r="I80" s="405" t="s">
        <v>257</v>
      </c>
      <c r="J80" s="406">
        <v>50000</v>
      </c>
      <c r="K80" s="409">
        <v>50000</v>
      </c>
      <c r="L80" s="531">
        <v>46388</v>
      </c>
      <c r="M80" s="532">
        <v>46599</v>
      </c>
      <c r="N80" s="727"/>
      <c r="O80" s="719"/>
      <c r="P80" s="719"/>
      <c r="Q80" s="719"/>
      <c r="R80" s="719"/>
      <c r="S80" s="719"/>
      <c r="T80" s="719"/>
      <c r="U80" s="718"/>
      <c r="V80" s="718"/>
      <c r="W80" s="718"/>
      <c r="X80" s="718"/>
      <c r="Y80" s="726"/>
      <c r="Z80" s="597">
        <v>10000</v>
      </c>
      <c r="AA80" s="591">
        <v>6666.666666666667</v>
      </c>
      <c r="AB80" s="591">
        <v>6666.666666666667</v>
      </c>
      <c r="AC80" s="591">
        <v>6666.666666666667</v>
      </c>
      <c r="AD80" s="591">
        <v>6666.666666666667</v>
      </c>
      <c r="AE80" s="591">
        <v>6666.666666666667</v>
      </c>
      <c r="AF80" s="591">
        <v>6666.666666666667</v>
      </c>
      <c r="AG80" s="718"/>
      <c r="AH80" s="718"/>
      <c r="AI80" s="718"/>
      <c r="AJ80" s="718"/>
      <c r="AK80" s="726"/>
      <c r="AL80" s="860" t="str">
        <f t="shared" si="24"/>
        <v>Si</v>
      </c>
      <c r="AM80" s="862">
        <f t="shared" si="25"/>
        <v>50000</v>
      </c>
      <c r="AN80" s="415">
        <f t="shared" ref="AN80:AN89" si="27">+SUM(N80:AK80)</f>
        <v>50000</v>
      </c>
    </row>
    <row r="81" spans="2:40" s="491" customFormat="1" ht="28.8" x14ac:dyDescent="0.3">
      <c r="B81" s="536" t="s">
        <v>1387</v>
      </c>
      <c r="C81" s="582" t="s">
        <v>255</v>
      </c>
      <c r="D81" s="582"/>
      <c r="E81" s="582"/>
      <c r="F81" s="582"/>
      <c r="G81" s="938">
        <f t="shared" si="26"/>
        <v>0</v>
      </c>
      <c r="H81" s="935"/>
      <c r="I81" s="405" t="s">
        <v>258</v>
      </c>
      <c r="J81" s="406">
        <v>175000</v>
      </c>
      <c r="K81" s="409">
        <v>175000</v>
      </c>
      <c r="L81" s="531">
        <v>46266</v>
      </c>
      <c r="M81" s="532">
        <v>46660</v>
      </c>
      <c r="N81" s="725"/>
      <c r="O81" s="718"/>
      <c r="P81" s="718"/>
      <c r="Q81" s="718"/>
      <c r="R81" s="718"/>
      <c r="S81" s="718"/>
      <c r="T81" s="718"/>
      <c r="U81" s="718"/>
      <c r="V81" s="591">
        <v>35000</v>
      </c>
      <c r="W81" s="591">
        <v>0</v>
      </c>
      <c r="X81" s="591">
        <v>0</v>
      </c>
      <c r="Y81" s="598">
        <v>0</v>
      </c>
      <c r="Z81" s="597">
        <v>50000</v>
      </c>
      <c r="AA81" s="591">
        <v>0</v>
      </c>
      <c r="AB81" s="591">
        <v>0</v>
      </c>
      <c r="AC81" s="591">
        <v>0</v>
      </c>
      <c r="AD81" s="591">
        <v>45000</v>
      </c>
      <c r="AE81" s="591">
        <v>0</v>
      </c>
      <c r="AF81" s="591">
        <v>0</v>
      </c>
      <c r="AG81" s="591">
        <v>0</v>
      </c>
      <c r="AH81" s="591">
        <v>45000</v>
      </c>
      <c r="AI81" s="718"/>
      <c r="AJ81" s="718"/>
      <c r="AK81" s="726"/>
      <c r="AL81" s="860" t="str">
        <f t="shared" si="24"/>
        <v>Si</v>
      </c>
      <c r="AM81" s="862">
        <f t="shared" si="25"/>
        <v>175000</v>
      </c>
      <c r="AN81" s="415">
        <f t="shared" si="27"/>
        <v>175000</v>
      </c>
    </row>
    <row r="82" spans="2:40" s="491" customFormat="1" x14ac:dyDescent="0.3">
      <c r="B82" s="536" t="s">
        <v>1387</v>
      </c>
      <c r="C82" s="582" t="s">
        <v>255</v>
      </c>
      <c r="D82" s="582"/>
      <c r="E82" s="582"/>
      <c r="F82" s="582"/>
      <c r="G82" s="938">
        <f t="shared" si="26"/>
        <v>0</v>
      </c>
      <c r="H82" s="935"/>
      <c r="I82" s="405" t="s">
        <v>259</v>
      </c>
      <c r="J82" s="406">
        <v>200000</v>
      </c>
      <c r="K82" s="409">
        <v>200000</v>
      </c>
      <c r="L82" s="531">
        <v>46204</v>
      </c>
      <c r="M82" s="532">
        <v>46599</v>
      </c>
      <c r="N82" s="725"/>
      <c r="O82" s="718"/>
      <c r="P82" s="718"/>
      <c r="Q82" s="718"/>
      <c r="R82" s="718"/>
      <c r="S82" s="718"/>
      <c r="T82" s="591">
        <v>40000</v>
      </c>
      <c r="U82" s="591">
        <v>0</v>
      </c>
      <c r="V82" s="591">
        <v>0</v>
      </c>
      <c r="W82" s="591">
        <v>0</v>
      </c>
      <c r="X82" s="591">
        <v>0</v>
      </c>
      <c r="Y82" s="598">
        <v>20000</v>
      </c>
      <c r="Z82" s="597">
        <v>0</v>
      </c>
      <c r="AA82" s="591">
        <v>0</v>
      </c>
      <c r="AB82" s="591">
        <v>100000</v>
      </c>
      <c r="AC82" s="591">
        <v>0</v>
      </c>
      <c r="AD82" s="591">
        <v>0</v>
      </c>
      <c r="AE82" s="591">
        <v>0</v>
      </c>
      <c r="AF82" s="591">
        <v>40000</v>
      </c>
      <c r="AG82" s="718"/>
      <c r="AH82" s="718"/>
      <c r="AI82" s="718"/>
      <c r="AJ82" s="718"/>
      <c r="AK82" s="726"/>
      <c r="AL82" s="860" t="str">
        <f t="shared" si="24"/>
        <v>Si</v>
      </c>
      <c r="AM82" s="862">
        <f t="shared" si="25"/>
        <v>200000</v>
      </c>
      <c r="AN82" s="415">
        <f t="shared" si="27"/>
        <v>200000</v>
      </c>
    </row>
    <row r="83" spans="2:40" s="491" customFormat="1" ht="57.6" x14ac:dyDescent="0.3">
      <c r="B83" s="536" t="s">
        <v>1387</v>
      </c>
      <c r="C83" s="582" t="s">
        <v>248</v>
      </c>
      <c r="D83" s="582"/>
      <c r="E83" s="582"/>
      <c r="F83" s="582"/>
      <c r="G83" s="938">
        <f t="shared" si="26"/>
        <v>0</v>
      </c>
      <c r="H83" s="935"/>
      <c r="I83" s="405" t="s">
        <v>260</v>
      </c>
      <c r="J83" s="406">
        <v>100000</v>
      </c>
      <c r="K83" s="409">
        <v>100000</v>
      </c>
      <c r="L83" s="531">
        <v>46204</v>
      </c>
      <c r="M83" s="532">
        <v>46326</v>
      </c>
      <c r="N83" s="725"/>
      <c r="O83" s="718"/>
      <c r="P83" s="718"/>
      <c r="Q83" s="718"/>
      <c r="R83" s="718"/>
      <c r="S83" s="718"/>
      <c r="T83" s="719"/>
      <c r="U83" s="719"/>
      <c r="V83" s="719"/>
      <c r="W83" s="719"/>
      <c r="X83" s="718"/>
      <c r="Y83" s="726"/>
      <c r="Z83" s="597">
        <v>25000</v>
      </c>
      <c r="AA83" s="591">
        <v>25000</v>
      </c>
      <c r="AB83" s="591">
        <v>25000</v>
      </c>
      <c r="AC83" s="591">
        <v>25000</v>
      </c>
      <c r="AD83" s="718"/>
      <c r="AE83" s="718"/>
      <c r="AF83" s="718"/>
      <c r="AG83" s="718"/>
      <c r="AH83" s="718"/>
      <c r="AI83" s="718"/>
      <c r="AJ83" s="718"/>
      <c r="AK83" s="726"/>
      <c r="AL83" s="860" t="str">
        <f t="shared" si="24"/>
        <v>Si</v>
      </c>
      <c r="AM83" s="862">
        <f t="shared" si="25"/>
        <v>100000</v>
      </c>
      <c r="AN83" s="415">
        <f t="shared" si="27"/>
        <v>100000</v>
      </c>
    </row>
    <row r="84" spans="2:40" s="491" customFormat="1" ht="57.6" x14ac:dyDescent="0.3">
      <c r="B84" s="536" t="s">
        <v>1387</v>
      </c>
      <c r="C84" s="582" t="s">
        <v>261</v>
      </c>
      <c r="D84" s="582"/>
      <c r="E84" s="582"/>
      <c r="F84" s="582"/>
      <c r="G84" s="938">
        <f t="shared" si="26"/>
        <v>0</v>
      </c>
      <c r="H84" s="935"/>
      <c r="I84" s="405" t="s">
        <v>262</v>
      </c>
      <c r="J84" s="406">
        <v>75000</v>
      </c>
      <c r="K84" s="409">
        <v>75000</v>
      </c>
      <c r="L84" s="531">
        <v>46204</v>
      </c>
      <c r="M84" s="532">
        <v>46326</v>
      </c>
      <c r="N84" s="725"/>
      <c r="O84" s="718"/>
      <c r="P84" s="718"/>
      <c r="Q84" s="718"/>
      <c r="R84" s="718"/>
      <c r="S84" s="718"/>
      <c r="T84" s="719"/>
      <c r="U84" s="719"/>
      <c r="V84" s="719"/>
      <c r="W84" s="719"/>
      <c r="X84" s="718"/>
      <c r="Y84" s="726"/>
      <c r="Z84" s="597">
        <v>18750</v>
      </c>
      <c r="AA84" s="591">
        <v>18750</v>
      </c>
      <c r="AB84" s="591">
        <v>18750</v>
      </c>
      <c r="AC84" s="591">
        <v>18750</v>
      </c>
      <c r="AD84" s="718"/>
      <c r="AE84" s="718"/>
      <c r="AF84" s="718"/>
      <c r="AG84" s="718"/>
      <c r="AH84" s="718"/>
      <c r="AI84" s="718"/>
      <c r="AJ84" s="718"/>
      <c r="AK84" s="726"/>
      <c r="AL84" s="860" t="str">
        <f t="shared" si="24"/>
        <v>Si</v>
      </c>
      <c r="AM84" s="862">
        <f t="shared" si="25"/>
        <v>75000</v>
      </c>
      <c r="AN84" s="415">
        <f t="shared" si="27"/>
        <v>75000</v>
      </c>
    </row>
    <row r="85" spans="2:40" s="491" customFormat="1" ht="28.8" x14ac:dyDescent="0.3">
      <c r="B85" s="536" t="s">
        <v>1387</v>
      </c>
      <c r="C85" s="582" t="s">
        <v>261</v>
      </c>
      <c r="D85" s="582"/>
      <c r="E85" s="582"/>
      <c r="F85" s="582"/>
      <c r="G85" s="938">
        <f t="shared" si="26"/>
        <v>0</v>
      </c>
      <c r="H85" s="935"/>
      <c r="I85" s="405" t="s">
        <v>263</v>
      </c>
      <c r="J85" s="406">
        <v>100000</v>
      </c>
      <c r="K85" s="409">
        <v>100000</v>
      </c>
      <c r="L85" s="531">
        <v>46388</v>
      </c>
      <c r="M85" s="532">
        <v>46599</v>
      </c>
      <c r="N85" s="725"/>
      <c r="O85" s="718"/>
      <c r="P85" s="718"/>
      <c r="Q85" s="718"/>
      <c r="R85" s="718"/>
      <c r="S85" s="718"/>
      <c r="T85" s="718"/>
      <c r="U85" s="718"/>
      <c r="V85" s="718"/>
      <c r="W85" s="718"/>
      <c r="X85" s="718"/>
      <c r="Y85" s="726"/>
      <c r="Z85" s="597">
        <v>20000</v>
      </c>
      <c r="AA85" s="591">
        <v>0</v>
      </c>
      <c r="AB85" s="591">
        <v>0</v>
      </c>
      <c r="AC85" s="717">
        <v>55000</v>
      </c>
      <c r="AD85" s="591">
        <v>0</v>
      </c>
      <c r="AE85" s="591">
        <v>0</v>
      </c>
      <c r="AF85" s="717">
        <v>25000</v>
      </c>
      <c r="AG85" s="718"/>
      <c r="AH85" s="718"/>
      <c r="AI85" s="718"/>
      <c r="AJ85" s="718"/>
      <c r="AK85" s="726"/>
      <c r="AL85" s="860" t="str">
        <f t="shared" si="24"/>
        <v>Si</v>
      </c>
      <c r="AM85" s="862">
        <f t="shared" si="25"/>
        <v>100000</v>
      </c>
      <c r="AN85" s="415">
        <f t="shared" si="27"/>
        <v>100000</v>
      </c>
    </row>
    <row r="86" spans="2:40" s="491" customFormat="1" ht="28.8" x14ac:dyDescent="0.3">
      <c r="B86" s="536" t="s">
        <v>1387</v>
      </c>
      <c r="C86" s="582" t="s">
        <v>261</v>
      </c>
      <c r="D86" s="582"/>
      <c r="E86" s="582"/>
      <c r="F86" s="582"/>
      <c r="G86" s="938">
        <f t="shared" si="26"/>
        <v>0</v>
      </c>
      <c r="H86" s="935"/>
      <c r="I86" s="405" t="s">
        <v>264</v>
      </c>
      <c r="J86" s="406">
        <v>50000</v>
      </c>
      <c r="K86" s="409">
        <v>50000</v>
      </c>
      <c r="L86" s="531">
        <v>46388</v>
      </c>
      <c r="M86" s="532">
        <v>46599</v>
      </c>
      <c r="N86" s="725"/>
      <c r="O86" s="718"/>
      <c r="P86" s="718"/>
      <c r="Q86" s="718"/>
      <c r="R86" s="718"/>
      <c r="S86" s="718"/>
      <c r="T86" s="718"/>
      <c r="U86" s="718"/>
      <c r="V86" s="718"/>
      <c r="W86" s="718"/>
      <c r="X86" s="718"/>
      <c r="Y86" s="726"/>
      <c r="Z86" s="597">
        <v>10000</v>
      </c>
      <c r="AA86" s="591">
        <v>0</v>
      </c>
      <c r="AB86" s="591">
        <v>0</v>
      </c>
      <c r="AC86" s="591">
        <v>25000</v>
      </c>
      <c r="AD86" s="591">
        <v>0</v>
      </c>
      <c r="AE86" s="591">
        <v>0</v>
      </c>
      <c r="AF86" s="591">
        <v>15000</v>
      </c>
      <c r="AG86" s="718"/>
      <c r="AH86" s="718"/>
      <c r="AI86" s="718"/>
      <c r="AJ86" s="718"/>
      <c r="AK86" s="726"/>
      <c r="AL86" s="860" t="str">
        <f t="shared" si="24"/>
        <v>Si</v>
      </c>
      <c r="AM86" s="862">
        <f t="shared" si="25"/>
        <v>50000</v>
      </c>
      <c r="AN86" s="415">
        <f t="shared" si="27"/>
        <v>50000</v>
      </c>
    </row>
    <row r="87" spans="2:40" s="491" customFormat="1" ht="28.8" x14ac:dyDescent="0.3">
      <c r="B87" s="536" t="s">
        <v>1387</v>
      </c>
      <c r="C87" s="582" t="s">
        <v>265</v>
      </c>
      <c r="D87" s="582"/>
      <c r="E87" s="582"/>
      <c r="F87" s="582"/>
      <c r="G87" s="938">
        <f t="shared" si="26"/>
        <v>0</v>
      </c>
      <c r="H87" s="935"/>
      <c r="I87" s="405" t="s">
        <v>266</v>
      </c>
      <c r="J87" s="406">
        <v>350000</v>
      </c>
      <c r="K87" s="409">
        <v>350000</v>
      </c>
      <c r="L87" s="531">
        <v>46388</v>
      </c>
      <c r="M87" s="532">
        <v>46599</v>
      </c>
      <c r="N87" s="725"/>
      <c r="O87" s="718"/>
      <c r="P87" s="718"/>
      <c r="Q87" s="718"/>
      <c r="R87" s="718"/>
      <c r="S87" s="718"/>
      <c r="T87" s="718"/>
      <c r="U87" s="718"/>
      <c r="V87" s="718"/>
      <c r="W87" s="718"/>
      <c r="X87" s="718"/>
      <c r="Y87" s="726"/>
      <c r="Z87" s="597">
        <v>70000</v>
      </c>
      <c r="AA87" s="591">
        <v>0</v>
      </c>
      <c r="AB87" s="591">
        <v>0</v>
      </c>
      <c r="AC87" s="591">
        <v>230000</v>
      </c>
      <c r="AD87" s="591">
        <v>0</v>
      </c>
      <c r="AE87" s="591">
        <v>0</v>
      </c>
      <c r="AF87" s="591">
        <v>50000</v>
      </c>
      <c r="AG87" s="718"/>
      <c r="AH87" s="718"/>
      <c r="AI87" s="718"/>
      <c r="AJ87" s="718"/>
      <c r="AK87" s="726"/>
      <c r="AL87" s="860" t="str">
        <f t="shared" si="24"/>
        <v>Si</v>
      </c>
      <c r="AM87" s="862">
        <f t="shared" si="25"/>
        <v>350000</v>
      </c>
      <c r="AN87" s="415">
        <f t="shared" si="27"/>
        <v>350000</v>
      </c>
    </row>
    <row r="88" spans="2:40" s="491" customFormat="1" ht="28.8" x14ac:dyDescent="0.3">
      <c r="B88" s="536" t="s">
        <v>1387</v>
      </c>
      <c r="C88" s="582" t="s">
        <v>265</v>
      </c>
      <c r="D88" s="582"/>
      <c r="E88" s="582"/>
      <c r="F88" s="582"/>
      <c r="G88" s="938">
        <f t="shared" si="26"/>
        <v>0</v>
      </c>
      <c r="H88" s="935"/>
      <c r="I88" s="405" t="s">
        <v>267</v>
      </c>
      <c r="J88" s="406">
        <v>125000</v>
      </c>
      <c r="K88" s="409">
        <v>125000</v>
      </c>
      <c r="L88" s="531">
        <v>46388</v>
      </c>
      <c r="M88" s="532">
        <v>46599</v>
      </c>
      <c r="N88" s="725"/>
      <c r="O88" s="718"/>
      <c r="P88" s="718"/>
      <c r="Q88" s="718"/>
      <c r="R88" s="718"/>
      <c r="S88" s="718"/>
      <c r="T88" s="718"/>
      <c r="U88" s="718"/>
      <c r="V88" s="718"/>
      <c r="W88" s="718"/>
      <c r="X88" s="718"/>
      <c r="Y88" s="726"/>
      <c r="Z88" s="597">
        <v>25000</v>
      </c>
      <c r="AA88" s="591">
        <v>0</v>
      </c>
      <c r="AB88" s="591">
        <v>0</v>
      </c>
      <c r="AC88" s="591">
        <v>75000</v>
      </c>
      <c r="AD88" s="591">
        <v>0</v>
      </c>
      <c r="AE88" s="591">
        <v>0</v>
      </c>
      <c r="AF88" s="591">
        <v>25000</v>
      </c>
      <c r="AG88" s="718"/>
      <c r="AH88" s="718"/>
      <c r="AI88" s="718"/>
      <c r="AJ88" s="718"/>
      <c r="AK88" s="726"/>
      <c r="AL88" s="860" t="str">
        <f t="shared" si="24"/>
        <v>Si</v>
      </c>
      <c r="AM88" s="862">
        <f t="shared" si="25"/>
        <v>125000</v>
      </c>
      <c r="AN88" s="415">
        <f t="shared" si="27"/>
        <v>125000</v>
      </c>
    </row>
    <row r="89" spans="2:40" s="491" customFormat="1" ht="29.4" thickBot="1" x14ac:dyDescent="0.35">
      <c r="B89" s="537" t="s">
        <v>1387</v>
      </c>
      <c r="C89" s="583" t="s">
        <v>241</v>
      </c>
      <c r="D89" s="583"/>
      <c r="E89" s="583"/>
      <c r="F89" s="583"/>
      <c r="G89" s="938">
        <f t="shared" si="26"/>
        <v>0</v>
      </c>
      <c r="H89" s="933"/>
      <c r="I89" s="427" t="s">
        <v>272</v>
      </c>
      <c r="J89" s="410">
        <v>200000</v>
      </c>
      <c r="K89" s="433">
        <v>200000</v>
      </c>
      <c r="L89" s="533">
        <v>46204</v>
      </c>
      <c r="M89" s="534">
        <v>46599</v>
      </c>
      <c r="N89" s="725"/>
      <c r="O89" s="718"/>
      <c r="P89" s="718"/>
      <c r="Q89" s="718"/>
      <c r="R89" s="718"/>
      <c r="S89" s="718"/>
      <c r="T89" s="718"/>
      <c r="U89" s="591">
        <v>40000</v>
      </c>
      <c r="V89" s="591">
        <v>0</v>
      </c>
      <c r="W89" s="591">
        <v>0</v>
      </c>
      <c r="X89" s="591">
        <v>0</v>
      </c>
      <c r="Y89" s="598">
        <v>0</v>
      </c>
      <c r="Z89" s="922">
        <v>120000</v>
      </c>
      <c r="AA89" s="599">
        <v>0</v>
      </c>
      <c r="AB89" s="599">
        <v>0</v>
      </c>
      <c r="AC89" s="599">
        <v>0</v>
      </c>
      <c r="AD89" s="599">
        <v>0</v>
      </c>
      <c r="AE89" s="599">
        <v>0</v>
      </c>
      <c r="AF89" s="599">
        <v>40000</v>
      </c>
      <c r="AG89" s="728"/>
      <c r="AH89" s="728"/>
      <c r="AI89" s="728"/>
      <c r="AJ89" s="728"/>
      <c r="AK89" s="731"/>
      <c r="AL89" s="860" t="str">
        <f t="shared" si="24"/>
        <v>Si</v>
      </c>
      <c r="AM89" s="862">
        <f t="shared" si="25"/>
        <v>200000</v>
      </c>
      <c r="AN89" s="415">
        <f t="shared" si="27"/>
        <v>200000</v>
      </c>
    </row>
    <row r="90" spans="2:40" s="491" customFormat="1" ht="15" thickBot="1" x14ac:dyDescent="0.35">
      <c r="I90" s="462" t="s">
        <v>26</v>
      </c>
      <c r="J90" s="463">
        <f>SUM(J67:J89)</f>
        <v>2500000</v>
      </c>
      <c r="K90" s="709">
        <f>SUM(K67:K89)</f>
        <v>2480000</v>
      </c>
      <c r="L90" s="535"/>
      <c r="M90" s="535"/>
      <c r="N90" s="854">
        <f>+SUM(N67:N89)</f>
        <v>3333.3333333333335</v>
      </c>
      <c r="O90" s="855">
        <f t="shared" ref="O90:Y90" si="28">+SUM(O67:O89)</f>
        <v>3333.3333333333335</v>
      </c>
      <c r="P90" s="855">
        <f t="shared" si="28"/>
        <v>3333.3333333333335</v>
      </c>
      <c r="Q90" s="855">
        <f t="shared" si="28"/>
        <v>17619.047619047618</v>
      </c>
      <c r="R90" s="855">
        <f t="shared" si="28"/>
        <v>17619.047619047618</v>
      </c>
      <c r="S90" s="855">
        <f t="shared" si="28"/>
        <v>17619.047619047618</v>
      </c>
      <c r="T90" s="855">
        <f t="shared" si="28"/>
        <v>68035.71428571429</v>
      </c>
      <c r="U90" s="855">
        <f t="shared" si="28"/>
        <v>198035.71428571429</v>
      </c>
      <c r="V90" s="855">
        <f t="shared" si="28"/>
        <v>63035.71428571429</v>
      </c>
      <c r="W90" s="855">
        <f t="shared" si="28"/>
        <v>28035.71428571429</v>
      </c>
      <c r="X90" s="855">
        <f t="shared" si="28"/>
        <v>13750.000000000002</v>
      </c>
      <c r="Y90" s="856">
        <f t="shared" si="28"/>
        <v>53750</v>
      </c>
      <c r="Z90" s="919">
        <f>+SUM(Z67:Z89)</f>
        <v>542708.33333333337</v>
      </c>
      <c r="AA90" s="920">
        <f t="shared" ref="AA90:AK90" si="29">+SUM(AA67:AA89)</f>
        <v>69375</v>
      </c>
      <c r="AB90" s="920">
        <f t="shared" si="29"/>
        <v>169375</v>
      </c>
      <c r="AC90" s="920">
        <f t="shared" si="29"/>
        <v>464375</v>
      </c>
      <c r="AD90" s="920">
        <f t="shared" si="29"/>
        <v>210625</v>
      </c>
      <c r="AE90" s="920">
        <f t="shared" si="29"/>
        <v>25625.000000000004</v>
      </c>
      <c r="AF90" s="920">
        <f t="shared" si="29"/>
        <v>370625</v>
      </c>
      <c r="AG90" s="920">
        <f t="shared" si="29"/>
        <v>18958.333333333336</v>
      </c>
      <c r="AH90" s="920">
        <f t="shared" si="29"/>
        <v>63958.333333333336</v>
      </c>
      <c r="AI90" s="920">
        <f t="shared" si="29"/>
        <v>18958.333333333336</v>
      </c>
      <c r="AJ90" s="920">
        <f t="shared" si="29"/>
        <v>18958.333333333336</v>
      </c>
      <c r="AK90" s="921">
        <f t="shared" si="29"/>
        <v>18958.333333333336</v>
      </c>
    </row>
    <row r="91" spans="2:40" ht="15" thickBot="1" x14ac:dyDescent="0.35">
      <c r="N91" s="1120">
        <f>+SUM(N90:P90)</f>
        <v>10000</v>
      </c>
      <c r="O91" s="1121"/>
      <c r="P91" s="1122"/>
      <c r="Q91" s="1120">
        <f>+SUM(Q90:S90)</f>
        <v>52857.142857142855</v>
      </c>
      <c r="R91" s="1121"/>
      <c r="S91" s="1122"/>
      <c r="T91" s="1120">
        <f>+SUM(T90:V90)</f>
        <v>329107.14285714284</v>
      </c>
      <c r="U91" s="1121"/>
      <c r="V91" s="1122"/>
      <c r="W91" s="1120">
        <f>+SUM(W90:Y90)</f>
        <v>95535.71428571429</v>
      </c>
      <c r="X91" s="1121"/>
      <c r="Y91" s="1122"/>
      <c r="Z91" s="1120">
        <f>+SUM(Z90:AB90)</f>
        <v>781458.33333333337</v>
      </c>
      <c r="AA91" s="1121"/>
      <c r="AB91" s="1122"/>
      <c r="AC91" s="1120">
        <f>+SUM(AC90:AE90)</f>
        <v>700625</v>
      </c>
      <c r="AD91" s="1121"/>
      <c r="AE91" s="1122"/>
      <c r="AF91" s="1120">
        <f>+SUM(AF90:AH90)</f>
        <v>453541.66666666663</v>
      </c>
      <c r="AG91" s="1121"/>
      <c r="AH91" s="1122"/>
      <c r="AI91" s="1120">
        <f>+SUM(AI90:AK90)</f>
        <v>56875.000000000007</v>
      </c>
      <c r="AJ91" s="1121"/>
      <c r="AK91" s="1122"/>
    </row>
    <row r="92" spans="2:40" ht="15" thickBot="1" x14ac:dyDescent="0.35">
      <c r="N92" s="1128">
        <f>+SUM(N91:S91)</f>
        <v>62857.142857142855</v>
      </c>
      <c r="O92" s="1129"/>
      <c r="P92" s="1129"/>
      <c r="Q92" s="1129"/>
      <c r="R92" s="1129"/>
      <c r="S92" s="1130"/>
      <c r="T92" s="1128">
        <f>+SUM(T91:Y91)</f>
        <v>424642.85714285716</v>
      </c>
      <c r="U92" s="1129"/>
      <c r="V92" s="1129"/>
      <c r="W92" s="1129"/>
      <c r="X92" s="1129"/>
      <c r="Y92" s="1130"/>
      <c r="Z92" s="1128">
        <f>+SUM(Z91:AE91)</f>
        <v>1482083.3333333335</v>
      </c>
      <c r="AA92" s="1129"/>
      <c r="AB92" s="1129"/>
      <c r="AC92" s="1129"/>
      <c r="AD92" s="1129"/>
      <c r="AE92" s="1130"/>
      <c r="AF92" s="1128">
        <f>+SUM(AF91:AK91)</f>
        <v>510416.66666666663</v>
      </c>
      <c r="AG92" s="1129"/>
      <c r="AH92" s="1129"/>
      <c r="AI92" s="1129"/>
      <c r="AJ92" s="1129"/>
      <c r="AK92" s="1130"/>
    </row>
    <row r="93" spans="2:40" ht="15" thickBot="1" x14ac:dyDescent="0.35">
      <c r="J93"/>
      <c r="K93" s="905" t="s">
        <v>1493</v>
      </c>
      <c r="L93" s="905" t="s">
        <v>1491</v>
      </c>
      <c r="N93" s="1125">
        <f>+SUM(N92:Y92)</f>
        <v>487500</v>
      </c>
      <c r="O93" s="1126"/>
      <c r="P93" s="1126"/>
      <c r="Q93" s="1126"/>
      <c r="R93" s="1126"/>
      <c r="S93" s="1126"/>
      <c r="T93" s="1126"/>
      <c r="U93" s="1126"/>
      <c r="V93" s="1126"/>
      <c r="W93" s="1126"/>
      <c r="X93" s="1126"/>
      <c r="Y93" s="1127"/>
      <c r="Z93" s="1125">
        <f>+SUM(Z92:AK92)</f>
        <v>1992500</v>
      </c>
      <c r="AA93" s="1126"/>
      <c r="AB93" s="1126"/>
      <c r="AC93" s="1126"/>
      <c r="AD93" s="1126"/>
      <c r="AE93" s="1126"/>
      <c r="AF93" s="1126"/>
      <c r="AG93" s="1126"/>
      <c r="AH93" s="1126"/>
      <c r="AI93" s="1126"/>
      <c r="AJ93" s="1126"/>
      <c r="AK93" s="1127"/>
    </row>
    <row r="94" spans="2:40" ht="15" thickBot="1" x14ac:dyDescent="0.35">
      <c r="J94"/>
      <c r="K94" s="904">
        <f>+N93</f>
        <v>487500</v>
      </c>
      <c r="L94" s="903">
        <f>+J94-K94</f>
        <v>-487500</v>
      </c>
      <c r="N94" s="713"/>
      <c r="O94" s="714"/>
      <c r="P94" s="714"/>
      <c r="Q94" s="714"/>
      <c r="R94" s="714"/>
      <c r="S94" s="714"/>
      <c r="T94" s="714"/>
      <c r="U94" s="714"/>
      <c r="V94" s="714"/>
      <c r="W94" s="714"/>
      <c r="X94" s="714"/>
      <c r="Y94" s="1213">
        <f>+SUM(N93:AK93)</f>
        <v>2480000</v>
      </c>
      <c r="Z94" s="942"/>
      <c r="AA94" s="714"/>
      <c r="AB94" s="714"/>
      <c r="AC94" s="714"/>
      <c r="AD94" s="714"/>
      <c r="AE94" s="714"/>
      <c r="AF94" s="714"/>
      <c r="AG94" s="714"/>
      <c r="AH94" s="714"/>
      <c r="AI94" s="714"/>
      <c r="AJ94" s="714"/>
      <c r="AK94" s="715"/>
    </row>
    <row r="95" spans="2:40" x14ac:dyDescent="0.3">
      <c r="J95"/>
    </row>
    <row r="96" spans="2:40" x14ac:dyDescent="0.3">
      <c r="J96"/>
      <c r="K96" s="905" t="s">
        <v>1495</v>
      </c>
      <c r="L96" s="905" t="s">
        <v>1491</v>
      </c>
    </row>
    <row r="97" spans="10:21" x14ac:dyDescent="0.3">
      <c r="J97"/>
      <c r="K97" s="904">
        <f>+Z93</f>
        <v>1992500</v>
      </c>
      <c r="L97" s="903">
        <f>+J97-K97</f>
        <v>-1992500</v>
      </c>
      <c r="M97"/>
    </row>
    <row r="98" spans="10:21" x14ac:dyDescent="0.3">
      <c r="M98"/>
    </row>
    <row r="99" spans="10:21" x14ac:dyDescent="0.3">
      <c r="J99" s="590"/>
      <c r="K99" s="902"/>
      <c r="L99" s="902"/>
      <c r="M99" s="902"/>
    </row>
    <row r="100" spans="10:21" x14ac:dyDescent="0.3">
      <c r="M100"/>
    </row>
    <row r="101" spans="10:21" x14ac:dyDescent="0.3">
      <c r="M101"/>
      <c r="N101" s="902"/>
      <c r="O101" s="902"/>
      <c r="P101" s="902"/>
      <c r="Q101" s="902"/>
      <c r="R101" s="902"/>
      <c r="S101" s="902"/>
      <c r="T101" s="902"/>
      <c r="U101" s="902"/>
    </row>
    <row r="102" spans="10:21" x14ac:dyDescent="0.3">
      <c r="M102"/>
    </row>
    <row r="103" spans="10:21" x14ac:dyDescent="0.3">
      <c r="M103"/>
    </row>
    <row r="104" spans="10:21" x14ac:dyDescent="0.3">
      <c r="M104"/>
    </row>
    <row r="105" spans="10:21" x14ac:dyDescent="0.3">
      <c r="M105"/>
    </row>
    <row r="106" spans="10:21" x14ac:dyDescent="0.3">
      <c r="M106"/>
    </row>
    <row r="107" spans="10:21" x14ac:dyDescent="0.3">
      <c r="M107"/>
    </row>
  </sheetData>
  <mergeCells count="23">
    <mergeCell ref="Z13:AK13"/>
    <mergeCell ref="AL14:AM14"/>
    <mergeCell ref="B2:E11"/>
    <mergeCell ref="I2:M5"/>
    <mergeCell ref="N2:Q11"/>
    <mergeCell ref="I6:M8"/>
    <mergeCell ref="I9:M11"/>
    <mergeCell ref="N13:Y13"/>
    <mergeCell ref="N93:Y93"/>
    <mergeCell ref="Z93:AK93"/>
    <mergeCell ref="Y94:Z94"/>
    <mergeCell ref="AF91:AH91"/>
    <mergeCell ref="AI91:AK91"/>
    <mergeCell ref="N92:S92"/>
    <mergeCell ref="T92:Y92"/>
    <mergeCell ref="Z92:AE92"/>
    <mergeCell ref="AF92:AK92"/>
    <mergeCell ref="N91:P91"/>
    <mergeCell ref="Q91:S91"/>
    <mergeCell ref="T91:V91"/>
    <mergeCell ref="W91:Y91"/>
    <mergeCell ref="Z91:AB91"/>
    <mergeCell ref="AC91:AE91"/>
  </mergeCells>
  <conditionalFormatting sqref="AL15:AL89">
    <cfRule type="cellIs" dxfId="2" priority="37" operator="equal">
      <formula>"""Si"""</formula>
    </cfRule>
    <cfRule type="cellIs" dxfId="1" priority="38" operator="equal">
      <formula>"Si"</formula>
    </cfRule>
    <cfRule type="cellIs" dxfId="0" priority="39" operator="equal">
      <formula>"No"</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ED67-5002-45AC-A04F-97B27FB38FEF}">
  <dimension ref="C2:K206"/>
  <sheetViews>
    <sheetView workbookViewId="0"/>
    <sheetView workbookViewId="1"/>
  </sheetViews>
  <sheetFormatPr baseColWidth="10" defaultColWidth="11.44140625" defaultRowHeight="14.4" x14ac:dyDescent="0.3"/>
  <cols>
    <col min="3" max="3" width="31.5546875" customWidth="1"/>
    <col min="4" max="5" width="107.44140625" customWidth="1"/>
    <col min="6" max="6" width="111.44140625" customWidth="1"/>
    <col min="7" max="7" width="19.109375" bestFit="1" customWidth="1"/>
    <col min="8" max="8" width="21.5546875" bestFit="1" customWidth="1"/>
    <col min="9" max="9" width="17.6640625" bestFit="1" customWidth="1"/>
    <col min="11" max="11" width="13.33203125" bestFit="1" customWidth="1"/>
  </cols>
  <sheetData>
    <row r="2" spans="3:9" ht="15" thickBot="1" x14ac:dyDescent="0.35">
      <c r="C2" s="359" t="s">
        <v>278</v>
      </c>
      <c r="D2" s="359" t="s">
        <v>279</v>
      </c>
      <c r="E2" s="359" t="s">
        <v>280</v>
      </c>
      <c r="F2" s="359" t="s">
        <v>1109</v>
      </c>
      <c r="G2" s="1214" t="s">
        <v>1258</v>
      </c>
      <c r="H2" s="1215"/>
    </row>
    <row r="3" spans="3:9" ht="28.8" x14ac:dyDescent="0.3">
      <c r="C3" s="1036" t="s">
        <v>289</v>
      </c>
      <c r="D3" s="473" t="s">
        <v>290</v>
      </c>
      <c r="E3" s="474"/>
      <c r="F3" s="475" t="s">
        <v>1259</v>
      </c>
      <c r="G3" s="476">
        <v>50000</v>
      </c>
      <c r="H3" s="477">
        <f>+G3*65.5</f>
        <v>3275000</v>
      </c>
      <c r="I3" s="465">
        <f>+SUM(G3:G4)</f>
        <v>54000</v>
      </c>
    </row>
    <row r="4" spans="3:9" ht="48.75" customHeight="1" thickBot="1" x14ac:dyDescent="0.35">
      <c r="C4" s="1038"/>
      <c r="D4" s="478" t="s">
        <v>291</v>
      </c>
      <c r="E4" s="479"/>
      <c r="F4" s="480" t="s">
        <v>1260</v>
      </c>
      <c r="G4" s="481">
        <v>4000</v>
      </c>
      <c r="H4" s="482">
        <f t="shared" ref="H4:H61" si="0">+G4*65.5</f>
        <v>262000</v>
      </c>
    </row>
    <row r="5" spans="3:9" ht="28.8" x14ac:dyDescent="0.3">
      <c r="C5" s="1037" t="s">
        <v>292</v>
      </c>
      <c r="D5" s="469" t="s">
        <v>293</v>
      </c>
      <c r="E5" s="470"/>
      <c r="G5" s="171"/>
      <c r="H5" s="485"/>
    </row>
    <row r="6" spans="3:9" x14ac:dyDescent="0.3">
      <c r="C6" s="1037"/>
      <c r="D6" s="469" t="s">
        <v>294</v>
      </c>
      <c r="E6" s="470"/>
      <c r="G6" s="171"/>
      <c r="H6" s="485"/>
    </row>
    <row r="7" spans="3:9" ht="15" thickBot="1" x14ac:dyDescent="0.35">
      <c r="C7" s="1037"/>
      <c r="D7" s="469" t="s">
        <v>295</v>
      </c>
      <c r="E7" s="470"/>
      <c r="G7" s="171"/>
      <c r="H7" s="485"/>
    </row>
    <row r="8" spans="3:9" x14ac:dyDescent="0.3">
      <c r="C8" s="1036" t="s">
        <v>296</v>
      </c>
      <c r="D8" s="473" t="s">
        <v>297</v>
      </c>
      <c r="E8" s="474"/>
      <c r="F8" s="389"/>
      <c r="G8" s="483"/>
      <c r="H8" s="484"/>
    </row>
    <row r="9" spans="3:9" x14ac:dyDescent="0.3">
      <c r="C9" s="1037"/>
      <c r="D9" s="469" t="s">
        <v>298</v>
      </c>
      <c r="E9" s="470"/>
      <c r="G9" s="171"/>
      <c r="H9" s="485"/>
    </row>
    <row r="10" spans="3:9" x14ac:dyDescent="0.3">
      <c r="C10" s="1037"/>
      <c r="D10" s="469" t="s">
        <v>299</v>
      </c>
      <c r="E10" s="470"/>
      <c r="G10" s="171"/>
      <c r="H10" s="485"/>
    </row>
    <row r="11" spans="3:9" x14ac:dyDescent="0.3">
      <c r="C11" s="1037"/>
      <c r="D11" s="469" t="s">
        <v>300</v>
      </c>
      <c r="E11" s="470"/>
      <c r="G11" s="171"/>
      <c r="H11" s="485"/>
    </row>
    <row r="12" spans="3:9" ht="15" thickBot="1" x14ac:dyDescent="0.35">
      <c r="C12" s="1037"/>
      <c r="D12" s="469" t="s">
        <v>301</v>
      </c>
      <c r="E12" s="470"/>
      <c r="G12" s="171"/>
      <c r="H12" s="485"/>
    </row>
    <row r="13" spans="3:9" x14ac:dyDescent="0.3">
      <c r="C13" s="1036" t="s">
        <v>302</v>
      </c>
      <c r="D13" s="473" t="s">
        <v>303</v>
      </c>
      <c r="E13" s="474"/>
      <c r="F13" s="389"/>
      <c r="G13" s="483"/>
      <c r="H13" s="484"/>
    </row>
    <row r="14" spans="3:9" x14ac:dyDescent="0.3">
      <c r="C14" s="1037"/>
      <c r="D14" s="469" t="s">
        <v>304</v>
      </c>
      <c r="E14" s="470"/>
      <c r="G14" s="171"/>
      <c r="H14" s="485"/>
    </row>
    <row r="15" spans="3:9" x14ac:dyDescent="0.3">
      <c r="C15" s="1037"/>
      <c r="D15" s="469" t="s">
        <v>305</v>
      </c>
      <c r="E15" s="470"/>
      <c r="G15" s="171"/>
      <c r="H15" s="485"/>
    </row>
    <row r="16" spans="3:9" ht="28.8" x14ac:dyDescent="0.3">
      <c r="C16" s="1037"/>
      <c r="D16" s="469" t="s">
        <v>306</v>
      </c>
      <c r="E16" s="470"/>
      <c r="G16" s="171"/>
      <c r="H16" s="485"/>
    </row>
    <row r="17" spans="3:9" ht="15" thickBot="1" x14ac:dyDescent="0.35">
      <c r="C17" s="1037"/>
      <c r="D17" s="469" t="s">
        <v>307</v>
      </c>
      <c r="E17" s="470"/>
      <c r="G17" s="171"/>
      <c r="H17" s="485"/>
    </row>
    <row r="18" spans="3:9" x14ac:dyDescent="0.3">
      <c r="C18" s="1036" t="s">
        <v>308</v>
      </c>
      <c r="D18" s="473" t="s">
        <v>309</v>
      </c>
      <c r="E18" s="474"/>
      <c r="F18" s="389"/>
      <c r="G18" s="483"/>
      <c r="H18" s="484"/>
    </row>
    <row r="19" spans="3:9" x14ac:dyDescent="0.3">
      <c r="C19" s="1037"/>
      <c r="D19" s="469" t="s">
        <v>310</v>
      </c>
      <c r="E19" s="470"/>
      <c r="G19" s="171"/>
      <c r="H19" s="485"/>
    </row>
    <row r="20" spans="3:9" x14ac:dyDescent="0.3">
      <c r="C20" s="1037"/>
      <c r="D20" s="469" t="s">
        <v>311</v>
      </c>
      <c r="E20" s="470"/>
      <c r="G20" s="171"/>
      <c r="H20" s="485"/>
    </row>
    <row r="21" spans="3:9" ht="15" thickBot="1" x14ac:dyDescent="0.35">
      <c r="C21" s="1037"/>
      <c r="D21" s="469" t="s">
        <v>312</v>
      </c>
      <c r="E21" s="470"/>
      <c r="G21" s="171"/>
      <c r="H21" s="485"/>
    </row>
    <row r="22" spans="3:9" ht="43.8" thickBot="1" x14ac:dyDescent="0.35">
      <c r="C22" s="385" t="s">
        <v>313</v>
      </c>
      <c r="D22" s="473" t="s">
        <v>314</v>
      </c>
      <c r="E22" s="474"/>
      <c r="F22" s="389"/>
      <c r="G22" s="483"/>
      <c r="H22" s="484"/>
    </row>
    <row r="23" spans="3:9" x14ac:dyDescent="0.3">
      <c r="C23" s="1036" t="s">
        <v>315</v>
      </c>
      <c r="D23" s="1216" t="s">
        <v>316</v>
      </c>
      <c r="E23" s="474"/>
      <c r="F23" s="489" t="s">
        <v>1261</v>
      </c>
      <c r="G23" s="490">
        <v>130000</v>
      </c>
      <c r="H23" s="484">
        <f t="shared" si="0"/>
        <v>8515000</v>
      </c>
      <c r="I23" s="171">
        <f>+SUM(G23:G24)</f>
        <v>230000</v>
      </c>
    </row>
    <row r="24" spans="3:9" ht="15" thickBot="1" x14ac:dyDescent="0.35">
      <c r="C24" s="1037"/>
      <c r="D24" s="1217"/>
      <c r="E24" s="470"/>
      <c r="F24" s="487" t="s">
        <v>1262</v>
      </c>
      <c r="G24" s="488">
        <v>100000</v>
      </c>
      <c r="H24" s="485">
        <f t="shared" si="0"/>
        <v>6550000</v>
      </c>
    </row>
    <row r="25" spans="3:9" x14ac:dyDescent="0.3">
      <c r="C25" s="1036" t="s">
        <v>317</v>
      </c>
      <c r="D25" s="1216" t="s">
        <v>318</v>
      </c>
      <c r="E25" s="493" t="s">
        <v>319</v>
      </c>
      <c r="F25" s="494" t="s">
        <v>1263</v>
      </c>
      <c r="G25" s="495">
        <v>1000000</v>
      </c>
      <c r="H25" s="484">
        <f t="shared" si="0"/>
        <v>65500000</v>
      </c>
      <c r="I25" s="171">
        <f>+SUM(G25:G27)</f>
        <v>2233333.33</v>
      </c>
    </row>
    <row r="26" spans="3:9" x14ac:dyDescent="0.3">
      <c r="C26" s="1037"/>
      <c r="D26" s="1217"/>
      <c r="E26" s="472" t="s">
        <v>320</v>
      </c>
      <c r="F26" s="491" t="s">
        <v>1264</v>
      </c>
      <c r="G26" s="492">
        <v>1200000</v>
      </c>
      <c r="H26" s="485">
        <f t="shared" si="0"/>
        <v>78600000</v>
      </c>
    </row>
    <row r="27" spans="3:9" x14ac:dyDescent="0.3">
      <c r="C27" s="1037"/>
      <c r="D27" s="1217"/>
      <c r="E27" s="472" t="s">
        <v>321</v>
      </c>
      <c r="F27" t="s">
        <v>1265</v>
      </c>
      <c r="G27" s="171">
        <v>33333.33</v>
      </c>
      <c r="H27" s="485">
        <f t="shared" si="0"/>
        <v>2183333.1150000002</v>
      </c>
    </row>
    <row r="28" spans="3:9" x14ac:dyDescent="0.3">
      <c r="C28" s="1037"/>
      <c r="D28" s="1217"/>
      <c r="E28" s="472" t="s">
        <v>322</v>
      </c>
      <c r="G28" s="171"/>
      <c r="H28" s="485"/>
    </row>
    <row r="29" spans="3:9" x14ac:dyDescent="0.3">
      <c r="C29" s="1037"/>
      <c r="D29" s="1217"/>
      <c r="E29" s="472" t="s">
        <v>323</v>
      </c>
      <c r="G29" s="171"/>
      <c r="H29" s="485"/>
    </row>
    <row r="30" spans="3:9" x14ac:dyDescent="0.3">
      <c r="C30" s="1037"/>
      <c r="D30" s="1217"/>
      <c r="E30" s="472" t="s">
        <v>324</v>
      </c>
      <c r="G30" s="171"/>
      <c r="H30" s="485"/>
    </row>
    <row r="31" spans="3:9" x14ac:dyDescent="0.3">
      <c r="C31" s="1037"/>
      <c r="D31" s="1217" t="s">
        <v>325</v>
      </c>
      <c r="E31" s="472" t="s">
        <v>326</v>
      </c>
      <c r="G31" s="171"/>
      <c r="H31" s="485"/>
    </row>
    <row r="32" spans="3:9" x14ac:dyDescent="0.3">
      <c r="C32" s="1037"/>
      <c r="D32" s="1217"/>
      <c r="E32" s="472" t="s">
        <v>327</v>
      </c>
      <c r="G32" s="171"/>
      <c r="H32" s="485"/>
    </row>
    <row r="33" spans="3:8" x14ac:dyDescent="0.3">
      <c r="C33" s="1037"/>
      <c r="D33" s="1217"/>
      <c r="E33" s="472" t="s">
        <v>328</v>
      </c>
      <c r="G33" s="171"/>
      <c r="H33" s="485"/>
    </row>
    <row r="34" spans="3:8" x14ac:dyDescent="0.3">
      <c r="C34" s="1037"/>
      <c r="D34" s="1217"/>
      <c r="E34" s="472" t="s">
        <v>329</v>
      </c>
      <c r="G34" s="171"/>
      <c r="H34" s="485"/>
    </row>
    <row r="35" spans="3:8" x14ac:dyDescent="0.3">
      <c r="C35" s="1037"/>
      <c r="D35" s="1217"/>
      <c r="E35" s="472" t="s">
        <v>330</v>
      </c>
      <c r="G35" s="171"/>
      <c r="H35" s="485"/>
    </row>
    <row r="36" spans="3:8" x14ac:dyDescent="0.3">
      <c r="C36" s="1037"/>
      <c r="D36" s="1217" t="s">
        <v>331</v>
      </c>
      <c r="E36" s="471" t="s">
        <v>332</v>
      </c>
      <c r="G36" s="171"/>
      <c r="H36" s="485"/>
    </row>
    <row r="37" spans="3:8" x14ac:dyDescent="0.3">
      <c r="C37" s="1037"/>
      <c r="D37" s="1217"/>
      <c r="E37" s="471" t="s">
        <v>333</v>
      </c>
      <c r="G37" s="171"/>
      <c r="H37" s="485"/>
    </row>
    <row r="38" spans="3:8" x14ac:dyDescent="0.3">
      <c r="C38" s="1037"/>
      <c r="D38" s="1217"/>
      <c r="E38" s="471" t="s">
        <v>334</v>
      </c>
      <c r="G38" s="171"/>
      <c r="H38" s="485"/>
    </row>
    <row r="39" spans="3:8" x14ac:dyDescent="0.3">
      <c r="C39" s="1037"/>
      <c r="D39" s="1217"/>
      <c r="E39" s="471" t="s">
        <v>335</v>
      </c>
      <c r="G39" s="171"/>
      <c r="H39" s="485"/>
    </row>
    <row r="40" spans="3:8" x14ac:dyDescent="0.3">
      <c r="C40" s="1037"/>
      <c r="D40" s="1217" t="s">
        <v>336</v>
      </c>
      <c r="E40" s="472" t="s">
        <v>337</v>
      </c>
      <c r="G40" s="171"/>
      <c r="H40" s="485"/>
    </row>
    <row r="41" spans="3:8" x14ac:dyDescent="0.3">
      <c r="C41" s="1037"/>
      <c r="D41" s="1217"/>
      <c r="E41" s="472" t="s">
        <v>338</v>
      </c>
      <c r="G41" s="171"/>
      <c r="H41" s="485"/>
    </row>
    <row r="42" spans="3:8" x14ac:dyDescent="0.3">
      <c r="C42" s="1037"/>
      <c r="D42" s="1217"/>
      <c r="E42" s="472" t="s">
        <v>339</v>
      </c>
      <c r="G42" s="171"/>
      <c r="H42" s="485"/>
    </row>
    <row r="43" spans="3:8" x14ac:dyDescent="0.3">
      <c r="C43" s="1037"/>
      <c r="D43" s="1217"/>
      <c r="E43" s="472" t="s">
        <v>340</v>
      </c>
      <c r="G43" s="171"/>
      <c r="H43" s="485"/>
    </row>
    <row r="44" spans="3:8" x14ac:dyDescent="0.3">
      <c r="C44" s="1037"/>
      <c r="D44" s="1217" t="s">
        <v>341</v>
      </c>
      <c r="E44" s="472" t="s">
        <v>342</v>
      </c>
      <c r="G44" s="171"/>
      <c r="H44" s="485"/>
    </row>
    <row r="45" spans="3:8" x14ac:dyDescent="0.3">
      <c r="C45" s="1037"/>
      <c r="D45" s="1217"/>
      <c r="E45" s="472" t="s">
        <v>343</v>
      </c>
      <c r="G45" s="171"/>
      <c r="H45" s="485"/>
    </row>
    <row r="46" spans="3:8" x14ac:dyDescent="0.3">
      <c r="C46" s="1037"/>
      <c r="D46" s="1217"/>
      <c r="E46" s="472" t="s">
        <v>344</v>
      </c>
      <c r="G46" s="171"/>
      <c r="H46" s="485"/>
    </row>
    <row r="47" spans="3:8" x14ac:dyDescent="0.3">
      <c r="C47" s="1037"/>
      <c r="D47" s="1217"/>
      <c r="E47" s="472" t="s">
        <v>345</v>
      </c>
      <c r="G47" s="171"/>
      <c r="H47" s="485"/>
    </row>
    <row r="48" spans="3:8" x14ac:dyDescent="0.3">
      <c r="C48" s="1037"/>
      <c r="D48" s="1217" t="s">
        <v>346</v>
      </c>
      <c r="E48" s="471" t="s">
        <v>347</v>
      </c>
      <c r="G48" s="171"/>
      <c r="H48" s="485"/>
    </row>
    <row r="49" spans="3:9" x14ac:dyDescent="0.3">
      <c r="C49" s="1037"/>
      <c r="D49" s="1217"/>
      <c r="E49" s="471" t="s">
        <v>348</v>
      </c>
      <c r="G49" s="171"/>
      <c r="H49" s="485"/>
    </row>
    <row r="50" spans="3:9" x14ac:dyDescent="0.3">
      <c r="C50" s="1037"/>
      <c r="D50" s="1217"/>
      <c r="E50" s="471" t="s">
        <v>349</v>
      </c>
      <c r="G50" s="171"/>
      <c r="H50" s="485"/>
    </row>
    <row r="51" spans="3:9" x14ac:dyDescent="0.3">
      <c r="C51" s="1037"/>
      <c r="D51" s="1217"/>
      <c r="E51" s="471" t="s">
        <v>350</v>
      </c>
      <c r="G51" s="171"/>
      <c r="H51" s="485"/>
    </row>
    <row r="52" spans="3:9" x14ac:dyDescent="0.3">
      <c r="C52" s="1037"/>
      <c r="D52" s="1217" t="s">
        <v>351</v>
      </c>
      <c r="E52" s="472" t="s">
        <v>352</v>
      </c>
      <c r="F52" s="491"/>
      <c r="G52" s="492"/>
      <c r="H52" s="485"/>
    </row>
    <row r="53" spans="3:9" x14ac:dyDescent="0.3">
      <c r="C53" s="1037"/>
      <c r="D53" s="1217"/>
      <c r="E53" s="472" t="s">
        <v>353</v>
      </c>
      <c r="G53" s="171"/>
      <c r="H53" s="485"/>
    </row>
    <row r="54" spans="3:9" x14ac:dyDescent="0.3">
      <c r="C54" s="1037"/>
      <c r="D54" s="1217"/>
      <c r="E54" s="472" t="s">
        <v>354</v>
      </c>
      <c r="G54" s="171"/>
      <c r="H54" s="485"/>
    </row>
    <row r="55" spans="3:9" x14ac:dyDescent="0.3">
      <c r="C55" s="1037"/>
      <c r="D55" s="1217"/>
      <c r="E55" s="472" t="s">
        <v>355</v>
      </c>
      <c r="G55" s="171"/>
      <c r="H55" s="485"/>
    </row>
    <row r="56" spans="3:9" x14ac:dyDescent="0.3">
      <c r="C56" s="1037"/>
      <c r="D56" s="1217" t="s">
        <v>356</v>
      </c>
      <c r="E56" s="472" t="s">
        <v>357</v>
      </c>
      <c r="G56" s="171"/>
      <c r="H56" s="485"/>
    </row>
    <row r="57" spans="3:9" x14ac:dyDescent="0.3">
      <c r="C57" s="1037"/>
      <c r="D57" s="1217"/>
      <c r="E57" s="472" t="s">
        <v>358</v>
      </c>
      <c r="G57" s="171"/>
      <c r="H57" s="485"/>
    </row>
    <row r="58" spans="3:9" ht="15" thickBot="1" x14ac:dyDescent="0.35">
      <c r="C58" s="1037"/>
      <c r="D58" s="1217"/>
      <c r="E58" s="472" t="s">
        <v>359</v>
      </c>
      <c r="G58" s="171"/>
      <c r="H58" s="485"/>
    </row>
    <row r="59" spans="3:9" x14ac:dyDescent="0.3">
      <c r="C59" s="1036" t="s">
        <v>360</v>
      </c>
      <c r="D59" s="1216" t="s">
        <v>361</v>
      </c>
      <c r="E59" s="493" t="s">
        <v>362</v>
      </c>
      <c r="F59" s="389" t="s">
        <v>1266</v>
      </c>
      <c r="G59" s="483">
        <v>41666.67</v>
      </c>
      <c r="H59" s="484">
        <f t="shared" si="0"/>
        <v>2729166.8849999998</v>
      </c>
      <c r="I59" s="171">
        <f>+SUM(G59:G61)</f>
        <v>121666.67</v>
      </c>
    </row>
    <row r="60" spans="3:9" x14ac:dyDescent="0.3">
      <c r="C60" s="1037"/>
      <c r="D60" s="1217"/>
      <c r="E60" s="472" t="s">
        <v>363</v>
      </c>
      <c r="F60" t="s">
        <v>1267</v>
      </c>
      <c r="G60" s="171">
        <v>70000</v>
      </c>
      <c r="H60" s="485">
        <f t="shared" si="0"/>
        <v>4585000</v>
      </c>
    </row>
    <row r="61" spans="3:9" x14ac:dyDescent="0.3">
      <c r="C61" s="1037"/>
      <c r="D61" s="1217"/>
      <c r="E61" s="472" t="s">
        <v>364</v>
      </c>
      <c r="F61" t="s">
        <v>1268</v>
      </c>
      <c r="G61" s="171">
        <v>10000</v>
      </c>
      <c r="H61" s="485">
        <f t="shared" si="0"/>
        <v>655000</v>
      </c>
    </row>
    <row r="62" spans="3:9" x14ac:dyDescent="0.3">
      <c r="C62" s="1037"/>
      <c r="D62" s="1217" t="s">
        <v>365</v>
      </c>
      <c r="E62" s="471" t="s">
        <v>366</v>
      </c>
      <c r="G62" s="171"/>
      <c r="H62" s="485"/>
    </row>
    <row r="63" spans="3:9" x14ac:dyDescent="0.3">
      <c r="C63" s="1037"/>
      <c r="D63" s="1217"/>
      <c r="E63" s="472" t="s">
        <v>367</v>
      </c>
      <c r="G63" s="171"/>
      <c r="H63" s="485"/>
    </row>
    <row r="64" spans="3:9" x14ac:dyDescent="0.3">
      <c r="C64" s="1037"/>
      <c r="D64" s="1217"/>
      <c r="E64" s="472" t="s">
        <v>368</v>
      </c>
      <c r="G64" s="171"/>
      <c r="H64" s="485"/>
    </row>
    <row r="65" spans="3:9" x14ac:dyDescent="0.3">
      <c r="C65" s="1037"/>
      <c r="D65" s="1217" t="s">
        <v>369</v>
      </c>
      <c r="E65" s="472" t="s">
        <v>370</v>
      </c>
      <c r="G65" s="171"/>
      <c r="H65" s="485"/>
    </row>
    <row r="66" spans="3:9" x14ac:dyDescent="0.3">
      <c r="C66" s="1037"/>
      <c r="D66" s="1217"/>
      <c r="E66" s="472" t="s">
        <v>371</v>
      </c>
      <c r="G66" s="171"/>
      <c r="H66" s="485"/>
    </row>
    <row r="67" spans="3:9" x14ac:dyDescent="0.3">
      <c r="C67" s="1037"/>
      <c r="D67" s="1217" t="s">
        <v>372</v>
      </c>
      <c r="E67" s="472" t="s">
        <v>373</v>
      </c>
      <c r="G67" s="171"/>
      <c r="H67" s="485"/>
    </row>
    <row r="68" spans="3:9" x14ac:dyDescent="0.3">
      <c r="C68" s="1037"/>
      <c r="D68" s="1217"/>
      <c r="E68" s="472" t="s">
        <v>374</v>
      </c>
      <c r="G68" s="171"/>
      <c r="H68" s="485"/>
    </row>
    <row r="69" spans="3:9" ht="15" thickBot="1" x14ac:dyDescent="0.35">
      <c r="C69" s="1037"/>
      <c r="D69" s="1217"/>
      <c r="E69" s="472" t="s">
        <v>375</v>
      </c>
      <c r="G69" s="171"/>
      <c r="H69" s="485"/>
    </row>
    <row r="70" spans="3:9" x14ac:dyDescent="0.3">
      <c r="C70" s="1036" t="s">
        <v>376</v>
      </c>
      <c r="D70" s="1216" t="s">
        <v>377</v>
      </c>
      <c r="E70" s="496" t="s">
        <v>378</v>
      </c>
      <c r="F70" s="389" t="s">
        <v>1269</v>
      </c>
      <c r="G70" s="483">
        <v>25625.84</v>
      </c>
      <c r="H70" s="484">
        <f t="shared" ref="H70" si="1">+G70*65.5</f>
        <v>1678492.52</v>
      </c>
    </row>
    <row r="71" spans="3:9" x14ac:dyDescent="0.3">
      <c r="C71" s="1037"/>
      <c r="D71" s="1217"/>
      <c r="E71" s="525" t="s">
        <v>379</v>
      </c>
      <c r="G71" s="171"/>
      <c r="H71" s="485"/>
    </row>
    <row r="72" spans="3:9" x14ac:dyDescent="0.3">
      <c r="C72" s="1037"/>
      <c r="D72" s="1217"/>
      <c r="E72" s="525" t="s">
        <v>380</v>
      </c>
      <c r="G72" s="171"/>
      <c r="H72" s="485"/>
    </row>
    <row r="73" spans="3:9" x14ac:dyDescent="0.3">
      <c r="C73" s="1037"/>
      <c r="D73" s="1217" t="s">
        <v>381</v>
      </c>
      <c r="E73" s="525" t="s">
        <v>382</v>
      </c>
      <c r="G73" s="171"/>
      <c r="H73" s="485"/>
    </row>
    <row r="74" spans="3:9" x14ac:dyDescent="0.3">
      <c r="C74" s="1037"/>
      <c r="D74" s="1217"/>
      <c r="E74" s="525" t="s">
        <v>383</v>
      </c>
      <c r="G74" s="171"/>
      <c r="H74" s="485"/>
    </row>
    <row r="75" spans="3:9" x14ac:dyDescent="0.3">
      <c r="C75" s="1037"/>
      <c r="D75" s="469" t="s">
        <v>384</v>
      </c>
      <c r="E75" s="470"/>
      <c r="G75" s="171"/>
      <c r="H75" s="485"/>
    </row>
    <row r="76" spans="3:9" ht="15" thickBot="1" x14ac:dyDescent="0.35">
      <c r="C76" s="1038"/>
      <c r="D76" s="478" t="s">
        <v>385</v>
      </c>
      <c r="E76" s="479"/>
      <c r="F76" s="390"/>
      <c r="G76" s="526"/>
      <c r="H76" s="527"/>
    </row>
    <row r="77" spans="3:9" x14ac:dyDescent="0.3">
      <c r="C77" s="1036" t="s">
        <v>386</v>
      </c>
      <c r="D77" s="474"/>
      <c r="E77" s="474"/>
      <c r="F77" s="389" t="s">
        <v>1270</v>
      </c>
      <c r="G77" s="498">
        <v>50000</v>
      </c>
      <c r="H77" s="484">
        <f t="shared" ref="H77:H130" si="2">+G77*65.5</f>
        <v>3275000</v>
      </c>
      <c r="I77" s="171">
        <f>+SUM(G77:G110)</f>
        <v>1529430.03</v>
      </c>
    </row>
    <row r="78" spans="3:9" x14ac:dyDescent="0.3">
      <c r="C78" s="1037"/>
      <c r="D78" s="470"/>
      <c r="E78" s="470"/>
      <c r="F78" t="s">
        <v>1271</v>
      </c>
      <c r="G78" s="492">
        <v>1454.99</v>
      </c>
      <c r="H78" s="485">
        <f t="shared" si="2"/>
        <v>95301.845000000001</v>
      </c>
    </row>
    <row r="79" spans="3:9" x14ac:dyDescent="0.3">
      <c r="C79" s="1037"/>
      <c r="D79" s="470"/>
      <c r="E79" s="470"/>
      <c r="F79" t="s">
        <v>1272</v>
      </c>
      <c r="G79" s="492">
        <v>1500</v>
      </c>
      <c r="H79" s="485">
        <f t="shared" si="2"/>
        <v>98250</v>
      </c>
    </row>
    <row r="80" spans="3:9" x14ac:dyDescent="0.3">
      <c r="C80" s="1037"/>
      <c r="D80" s="470"/>
      <c r="E80" s="470"/>
      <c r="F80" t="s">
        <v>1273</v>
      </c>
      <c r="G80" s="492">
        <v>2100</v>
      </c>
      <c r="H80" s="485">
        <f t="shared" si="2"/>
        <v>137550</v>
      </c>
    </row>
    <row r="81" spans="3:11" x14ac:dyDescent="0.3">
      <c r="C81" s="1037"/>
      <c r="D81" s="470"/>
      <c r="E81" s="470"/>
      <c r="F81" t="s">
        <v>1274</v>
      </c>
      <c r="G81" s="492">
        <v>25000</v>
      </c>
      <c r="H81" s="485">
        <f t="shared" si="2"/>
        <v>1637500</v>
      </c>
    </row>
    <row r="82" spans="3:11" x14ac:dyDescent="0.3">
      <c r="C82" s="1037"/>
      <c r="D82" s="470"/>
      <c r="E82" s="470"/>
      <c r="F82" t="s">
        <v>1275</v>
      </c>
      <c r="G82" s="492">
        <v>10000</v>
      </c>
      <c r="H82" s="485">
        <f t="shared" si="2"/>
        <v>655000</v>
      </c>
    </row>
    <row r="83" spans="3:11" x14ac:dyDescent="0.3">
      <c r="C83" s="1037"/>
      <c r="D83" s="470"/>
      <c r="E83" s="470"/>
      <c r="F83" t="s">
        <v>1276</v>
      </c>
      <c r="G83" s="492">
        <v>75000</v>
      </c>
      <c r="H83" s="485">
        <f t="shared" si="2"/>
        <v>4912500</v>
      </c>
    </row>
    <row r="84" spans="3:11" x14ac:dyDescent="0.3">
      <c r="C84" s="1037"/>
      <c r="D84" s="470"/>
      <c r="E84" s="470"/>
      <c r="F84" t="s">
        <v>1277</v>
      </c>
      <c r="G84" s="492">
        <v>1582.94</v>
      </c>
      <c r="H84" s="485">
        <f t="shared" si="2"/>
        <v>103682.57</v>
      </c>
    </row>
    <row r="85" spans="3:11" x14ac:dyDescent="0.3">
      <c r="C85" s="1037"/>
      <c r="D85" s="470"/>
      <c r="E85" s="470"/>
      <c r="F85" t="s">
        <v>1278</v>
      </c>
      <c r="G85" s="492">
        <v>25000</v>
      </c>
      <c r="H85" s="485">
        <f t="shared" si="2"/>
        <v>1637500</v>
      </c>
    </row>
    <row r="86" spans="3:11" x14ac:dyDescent="0.3">
      <c r="C86" s="1037"/>
      <c r="D86" s="470"/>
      <c r="E86" s="470"/>
      <c r="F86" t="s">
        <v>1279</v>
      </c>
      <c r="G86" s="492">
        <v>1357.98</v>
      </c>
      <c r="H86" s="485">
        <f t="shared" si="2"/>
        <v>88947.69</v>
      </c>
      <c r="K86" s="171"/>
    </row>
    <row r="87" spans="3:11" x14ac:dyDescent="0.3">
      <c r="C87" s="1037"/>
      <c r="D87" s="470"/>
      <c r="E87" s="470"/>
      <c r="F87" t="s">
        <v>1280</v>
      </c>
      <c r="G87" s="492">
        <v>9612.36</v>
      </c>
      <c r="H87" s="485">
        <f t="shared" si="2"/>
        <v>629609.58000000007</v>
      </c>
    </row>
    <row r="88" spans="3:11" x14ac:dyDescent="0.3">
      <c r="C88" s="1037"/>
      <c r="D88" s="470"/>
      <c r="E88" s="470"/>
      <c r="F88" t="s">
        <v>1281</v>
      </c>
      <c r="G88" s="492">
        <v>1131.6600000000001</v>
      </c>
      <c r="H88" s="485">
        <f t="shared" si="2"/>
        <v>74123.73000000001</v>
      </c>
    </row>
    <row r="89" spans="3:11" x14ac:dyDescent="0.3">
      <c r="C89" s="1037"/>
      <c r="D89" s="470"/>
      <c r="E89" s="470"/>
      <c r="F89" t="s">
        <v>1282</v>
      </c>
      <c r="G89" s="492">
        <v>4000</v>
      </c>
      <c r="H89" s="485">
        <f t="shared" si="2"/>
        <v>262000</v>
      </c>
    </row>
    <row r="90" spans="3:11" x14ac:dyDescent="0.3">
      <c r="C90" s="1037"/>
      <c r="D90" s="470"/>
      <c r="E90" s="470"/>
      <c r="F90" t="s">
        <v>1283</v>
      </c>
      <c r="G90" s="492">
        <v>3000</v>
      </c>
      <c r="H90" s="485">
        <f t="shared" si="2"/>
        <v>196500</v>
      </c>
    </row>
    <row r="91" spans="3:11" x14ac:dyDescent="0.3">
      <c r="C91" s="1037"/>
      <c r="D91" s="470"/>
      <c r="E91" s="470"/>
      <c r="F91" t="s">
        <v>1284</v>
      </c>
      <c r="G91" s="492">
        <v>15000</v>
      </c>
      <c r="H91" s="485">
        <f t="shared" si="2"/>
        <v>982500</v>
      </c>
    </row>
    <row r="92" spans="3:11" x14ac:dyDescent="0.3">
      <c r="C92" s="1037"/>
      <c r="D92" s="470"/>
      <c r="E92" s="470"/>
      <c r="F92" t="s">
        <v>1285</v>
      </c>
      <c r="G92" s="492">
        <v>40000</v>
      </c>
      <c r="H92" s="485">
        <f t="shared" si="2"/>
        <v>2620000</v>
      </c>
    </row>
    <row r="93" spans="3:11" x14ac:dyDescent="0.3">
      <c r="C93" s="1037"/>
      <c r="D93" s="470"/>
      <c r="E93" s="470"/>
      <c r="F93" t="s">
        <v>1286</v>
      </c>
      <c r="G93" s="497">
        <v>110378</v>
      </c>
      <c r="H93" s="485">
        <f t="shared" si="2"/>
        <v>7229759</v>
      </c>
    </row>
    <row r="94" spans="3:11" x14ac:dyDescent="0.3">
      <c r="C94" s="1037"/>
      <c r="D94" s="470"/>
      <c r="E94" s="470"/>
      <c r="F94" t="s">
        <v>1287</v>
      </c>
      <c r="G94" s="492">
        <v>999780</v>
      </c>
      <c r="H94" s="485">
        <f t="shared" si="2"/>
        <v>65485590</v>
      </c>
    </row>
    <row r="95" spans="3:11" x14ac:dyDescent="0.3">
      <c r="C95" s="1037"/>
      <c r="D95" s="470"/>
      <c r="E95" s="470"/>
      <c r="F95" t="s">
        <v>1288</v>
      </c>
      <c r="G95" s="492">
        <v>25000</v>
      </c>
      <c r="H95" s="485">
        <f t="shared" si="2"/>
        <v>1637500</v>
      </c>
    </row>
    <row r="96" spans="3:11" x14ac:dyDescent="0.3">
      <c r="C96" s="1037"/>
      <c r="D96" s="470"/>
      <c r="E96" s="470"/>
      <c r="F96" t="s">
        <v>1289</v>
      </c>
      <c r="G96" s="492">
        <v>15000</v>
      </c>
      <c r="H96" s="485">
        <f t="shared" si="2"/>
        <v>982500</v>
      </c>
    </row>
    <row r="97" spans="3:9" x14ac:dyDescent="0.3">
      <c r="C97" s="1037"/>
      <c r="D97" s="470"/>
      <c r="E97" s="470"/>
      <c r="F97" t="s">
        <v>1290</v>
      </c>
      <c r="G97" s="492">
        <v>12175.38</v>
      </c>
      <c r="H97" s="485">
        <f t="shared" si="2"/>
        <v>797487.3899999999</v>
      </c>
    </row>
    <row r="98" spans="3:9" x14ac:dyDescent="0.3">
      <c r="C98" s="1037"/>
      <c r="D98" s="470"/>
      <c r="E98" s="470"/>
      <c r="F98" t="s">
        <v>1291</v>
      </c>
      <c r="G98" s="492">
        <v>10757.78</v>
      </c>
      <c r="H98" s="485">
        <f t="shared" si="2"/>
        <v>704634.59000000008</v>
      </c>
    </row>
    <row r="99" spans="3:9" x14ac:dyDescent="0.3">
      <c r="C99" s="1037"/>
      <c r="D99" s="470"/>
      <c r="E99" s="470"/>
      <c r="F99" t="s">
        <v>1292</v>
      </c>
      <c r="G99" s="492">
        <v>4500</v>
      </c>
      <c r="H99" s="485">
        <f t="shared" si="2"/>
        <v>294750</v>
      </c>
    </row>
    <row r="100" spans="3:9" x14ac:dyDescent="0.3">
      <c r="C100" s="1037"/>
      <c r="D100" s="470"/>
      <c r="E100" s="470"/>
      <c r="F100" t="s">
        <v>1293</v>
      </c>
      <c r="G100" s="492">
        <v>500</v>
      </c>
      <c r="H100" s="485">
        <f t="shared" si="2"/>
        <v>32750</v>
      </c>
    </row>
    <row r="101" spans="3:9" x14ac:dyDescent="0.3">
      <c r="C101" s="1037"/>
      <c r="D101" s="470"/>
      <c r="E101" s="470"/>
      <c r="F101" t="s">
        <v>1294</v>
      </c>
      <c r="G101" s="492">
        <v>1212.45</v>
      </c>
      <c r="H101" s="485">
        <f t="shared" si="2"/>
        <v>79415.475000000006</v>
      </c>
    </row>
    <row r="102" spans="3:9" x14ac:dyDescent="0.3">
      <c r="C102" s="1037"/>
      <c r="D102" s="470"/>
      <c r="E102" s="470"/>
      <c r="F102" t="s">
        <v>1295</v>
      </c>
      <c r="G102" s="492">
        <v>13475.09</v>
      </c>
      <c r="H102" s="485">
        <f t="shared" si="2"/>
        <v>882618.39500000002</v>
      </c>
    </row>
    <row r="103" spans="3:9" x14ac:dyDescent="0.3">
      <c r="C103" s="1037"/>
      <c r="D103" s="470"/>
      <c r="E103" s="470"/>
      <c r="F103" t="s">
        <v>1296</v>
      </c>
      <c r="G103" s="492">
        <v>7500</v>
      </c>
      <c r="H103" s="485">
        <f t="shared" si="2"/>
        <v>491250</v>
      </c>
    </row>
    <row r="104" spans="3:9" x14ac:dyDescent="0.3">
      <c r="C104" s="1037"/>
      <c r="D104" s="470"/>
      <c r="E104" s="470"/>
      <c r="F104" t="s">
        <v>1297</v>
      </c>
      <c r="G104" s="497">
        <v>2586.64</v>
      </c>
      <c r="H104" s="485">
        <f t="shared" si="2"/>
        <v>169424.91999999998</v>
      </c>
    </row>
    <row r="105" spans="3:9" x14ac:dyDescent="0.3">
      <c r="C105" s="1037"/>
      <c r="D105" s="470"/>
      <c r="E105" s="470"/>
      <c r="F105" t="s">
        <v>1298</v>
      </c>
      <c r="G105" s="497">
        <v>1293.32</v>
      </c>
      <c r="H105" s="485">
        <f t="shared" si="2"/>
        <v>84712.459999999992</v>
      </c>
    </row>
    <row r="106" spans="3:9" x14ac:dyDescent="0.3">
      <c r="C106" s="1037"/>
      <c r="D106" s="470"/>
      <c r="E106" s="470"/>
      <c r="F106" t="s">
        <v>1299</v>
      </c>
      <c r="G106" s="492">
        <v>2500</v>
      </c>
      <c r="H106" s="485">
        <f t="shared" si="2"/>
        <v>163750</v>
      </c>
    </row>
    <row r="107" spans="3:9" x14ac:dyDescent="0.3">
      <c r="C107" s="1037"/>
      <c r="D107" s="470"/>
      <c r="E107" s="470"/>
      <c r="F107" t="s">
        <v>1300</v>
      </c>
      <c r="G107" s="492">
        <v>30000</v>
      </c>
      <c r="H107" s="485">
        <f t="shared" si="2"/>
        <v>1965000</v>
      </c>
    </row>
    <row r="108" spans="3:9" x14ac:dyDescent="0.3">
      <c r="C108" s="1037"/>
      <c r="D108" s="470"/>
      <c r="E108" s="470"/>
      <c r="F108" t="s">
        <v>1301</v>
      </c>
      <c r="G108" s="492">
        <v>2263.31</v>
      </c>
      <c r="H108" s="485">
        <f t="shared" si="2"/>
        <v>148246.80499999999</v>
      </c>
    </row>
    <row r="109" spans="3:9" x14ac:dyDescent="0.3">
      <c r="C109" s="1037"/>
      <c r="D109" s="470"/>
      <c r="E109" s="470"/>
      <c r="F109" t="s">
        <v>1302</v>
      </c>
      <c r="G109" s="492">
        <v>18268.13</v>
      </c>
      <c r="H109" s="485">
        <f t="shared" si="2"/>
        <v>1196562.5150000001</v>
      </c>
    </row>
    <row r="110" spans="3:9" ht="15" thickBot="1" x14ac:dyDescent="0.35">
      <c r="C110" s="1037"/>
      <c r="D110" s="470"/>
      <c r="E110" s="470"/>
      <c r="F110" t="s">
        <v>1303</v>
      </c>
      <c r="G110" s="492">
        <v>6500</v>
      </c>
      <c r="H110" s="485">
        <f t="shared" si="2"/>
        <v>425750</v>
      </c>
    </row>
    <row r="111" spans="3:9" x14ac:dyDescent="0.3">
      <c r="C111" s="1036" t="s">
        <v>394</v>
      </c>
      <c r="D111" s="473" t="s">
        <v>395</v>
      </c>
      <c r="E111" s="474"/>
      <c r="F111" s="389" t="s">
        <v>1304</v>
      </c>
      <c r="G111" s="495">
        <v>10000</v>
      </c>
      <c r="H111" s="484">
        <f t="shared" si="2"/>
        <v>655000</v>
      </c>
      <c r="I111" s="171">
        <f>+SUM(G111:G123)</f>
        <v>182500</v>
      </c>
    </row>
    <row r="112" spans="3:9" x14ac:dyDescent="0.3">
      <c r="C112" s="1037"/>
      <c r="D112" s="469" t="s">
        <v>396</v>
      </c>
      <c r="E112" s="470"/>
      <c r="F112" t="s">
        <v>1305</v>
      </c>
      <c r="G112" s="492">
        <v>12000</v>
      </c>
      <c r="H112" s="485">
        <f t="shared" si="2"/>
        <v>786000</v>
      </c>
    </row>
    <row r="113" spans="3:9" x14ac:dyDescent="0.3">
      <c r="C113" s="1037"/>
      <c r="D113" s="469" t="s">
        <v>397</v>
      </c>
      <c r="E113" s="470"/>
      <c r="F113" t="s">
        <v>1306</v>
      </c>
      <c r="G113" s="492">
        <v>30000</v>
      </c>
      <c r="H113" s="485">
        <f t="shared" si="2"/>
        <v>1965000</v>
      </c>
    </row>
    <row r="114" spans="3:9" x14ac:dyDescent="0.3">
      <c r="C114" s="1037"/>
      <c r="D114" s="469" t="s">
        <v>398</v>
      </c>
      <c r="E114" s="470"/>
      <c r="F114" t="s">
        <v>1307</v>
      </c>
      <c r="G114" s="492">
        <v>20000</v>
      </c>
      <c r="H114" s="485">
        <f t="shared" si="2"/>
        <v>1310000</v>
      </c>
    </row>
    <row r="115" spans="3:9" x14ac:dyDescent="0.3">
      <c r="C115" s="1037"/>
      <c r="D115" s="469" t="s">
        <v>399</v>
      </c>
      <c r="E115" s="470"/>
      <c r="F115" t="s">
        <v>1308</v>
      </c>
      <c r="G115" s="492">
        <v>19500</v>
      </c>
      <c r="H115" s="485">
        <f t="shared" si="2"/>
        <v>1277250</v>
      </c>
    </row>
    <row r="116" spans="3:9" x14ac:dyDescent="0.3">
      <c r="C116" s="1037"/>
      <c r="D116" s="469" t="s">
        <v>400</v>
      </c>
      <c r="E116" s="470"/>
      <c r="F116" t="s">
        <v>1309</v>
      </c>
      <c r="G116" s="171">
        <v>15000</v>
      </c>
      <c r="H116" s="485">
        <f t="shared" si="2"/>
        <v>982500</v>
      </c>
    </row>
    <row r="117" spans="3:9" x14ac:dyDescent="0.3">
      <c r="C117" s="1037"/>
      <c r="D117" s="469" t="s">
        <v>401</v>
      </c>
      <c r="E117" s="470"/>
      <c r="F117" t="s">
        <v>1310</v>
      </c>
      <c r="G117" s="171">
        <v>22000</v>
      </c>
      <c r="H117" s="485">
        <f t="shared" si="2"/>
        <v>1441000</v>
      </c>
    </row>
    <row r="118" spans="3:9" x14ac:dyDescent="0.3">
      <c r="C118" s="1037"/>
      <c r="D118" s="469" t="s">
        <v>402</v>
      </c>
      <c r="E118" s="470"/>
      <c r="F118" t="s">
        <v>1311</v>
      </c>
      <c r="G118" s="171">
        <v>22000</v>
      </c>
      <c r="H118" s="485">
        <f t="shared" si="2"/>
        <v>1441000</v>
      </c>
    </row>
    <row r="119" spans="3:9" x14ac:dyDescent="0.3">
      <c r="C119" s="1037"/>
      <c r="D119" s="469" t="s">
        <v>403</v>
      </c>
      <c r="E119" s="470"/>
      <c r="F119" t="s">
        <v>1312</v>
      </c>
      <c r="G119" s="171">
        <v>16000</v>
      </c>
      <c r="H119" s="485">
        <f t="shared" si="2"/>
        <v>1048000</v>
      </c>
    </row>
    <row r="120" spans="3:9" x14ac:dyDescent="0.3">
      <c r="C120" s="1037"/>
      <c r="D120" s="469" t="s">
        <v>404</v>
      </c>
      <c r="E120" s="470"/>
      <c r="F120" t="s">
        <v>1313</v>
      </c>
      <c r="G120" s="171">
        <v>10000</v>
      </c>
      <c r="H120" s="485">
        <f t="shared" si="2"/>
        <v>655000</v>
      </c>
    </row>
    <row r="121" spans="3:9" x14ac:dyDescent="0.3">
      <c r="C121" s="1037"/>
      <c r="D121" s="469" t="s">
        <v>405</v>
      </c>
      <c r="E121" s="470"/>
      <c r="F121" t="s">
        <v>1314</v>
      </c>
      <c r="G121" s="171">
        <v>6000</v>
      </c>
      <c r="H121" s="485">
        <f t="shared" si="2"/>
        <v>393000</v>
      </c>
    </row>
    <row r="122" spans="3:9" x14ac:dyDescent="0.3">
      <c r="C122" s="1037"/>
      <c r="D122" s="469" t="s">
        <v>406</v>
      </c>
      <c r="E122" s="470"/>
      <c r="G122" s="171"/>
      <c r="H122" s="485"/>
    </row>
    <row r="123" spans="3:9" ht="15" thickBot="1" x14ac:dyDescent="0.35">
      <c r="C123" s="1037"/>
      <c r="D123" s="469" t="s">
        <v>407</v>
      </c>
      <c r="E123" s="470"/>
      <c r="G123" s="171"/>
      <c r="H123" s="485"/>
    </row>
    <row r="124" spans="3:9" x14ac:dyDescent="0.3">
      <c r="C124" s="1218" t="s">
        <v>409</v>
      </c>
      <c r="D124" s="1216" t="s">
        <v>410</v>
      </c>
      <c r="E124" s="502" t="s">
        <v>411</v>
      </c>
      <c r="F124" s="389" t="s">
        <v>1315</v>
      </c>
      <c r="G124" s="483">
        <v>330000</v>
      </c>
      <c r="H124" s="484">
        <f t="shared" si="2"/>
        <v>21615000</v>
      </c>
      <c r="I124" s="171">
        <f>+SUM(G124:G160)</f>
        <v>1617088.72</v>
      </c>
    </row>
    <row r="125" spans="3:9" x14ac:dyDescent="0.3">
      <c r="C125" s="1219"/>
      <c r="D125" s="1217"/>
      <c r="E125" s="499" t="s">
        <v>413</v>
      </c>
      <c r="F125" t="s">
        <v>1316</v>
      </c>
      <c r="G125" s="171">
        <v>200000</v>
      </c>
      <c r="H125" s="485">
        <f t="shared" si="2"/>
        <v>13100000</v>
      </c>
    </row>
    <row r="126" spans="3:9" x14ac:dyDescent="0.3">
      <c r="C126" s="1219"/>
      <c r="D126" s="1217"/>
      <c r="E126" s="499" t="s">
        <v>415</v>
      </c>
      <c r="F126" t="s">
        <v>1317</v>
      </c>
      <c r="G126" s="171">
        <v>40000</v>
      </c>
      <c r="H126" s="485">
        <f t="shared" si="2"/>
        <v>2620000</v>
      </c>
    </row>
    <row r="127" spans="3:9" x14ac:dyDescent="0.3">
      <c r="C127" s="1219"/>
      <c r="D127" s="1217"/>
      <c r="E127" s="499" t="s">
        <v>416</v>
      </c>
      <c r="F127" t="s">
        <v>1318</v>
      </c>
      <c r="G127" s="171">
        <v>200000</v>
      </c>
      <c r="H127" s="485">
        <f t="shared" si="2"/>
        <v>13100000</v>
      </c>
    </row>
    <row r="128" spans="3:9" ht="15" customHeight="1" x14ac:dyDescent="0.3">
      <c r="C128" s="1219"/>
      <c r="D128" s="1221" t="s">
        <v>417</v>
      </c>
      <c r="E128" s="499" t="s">
        <v>418</v>
      </c>
      <c r="F128" t="s">
        <v>1319</v>
      </c>
      <c r="G128" s="171">
        <v>200000</v>
      </c>
      <c r="H128" s="485">
        <f t="shared" si="2"/>
        <v>13100000</v>
      </c>
    </row>
    <row r="129" spans="3:8" x14ac:dyDescent="0.3">
      <c r="C129" s="1219"/>
      <c r="D129" s="1221"/>
      <c r="E129" s="499" t="s">
        <v>419</v>
      </c>
      <c r="F129" t="s">
        <v>1320</v>
      </c>
      <c r="G129" s="171">
        <v>200000</v>
      </c>
      <c r="H129" s="485">
        <f t="shared" si="2"/>
        <v>13100000</v>
      </c>
    </row>
    <row r="130" spans="3:8" x14ac:dyDescent="0.3">
      <c r="C130" s="1219"/>
      <c r="D130" s="1221"/>
      <c r="E130" s="499" t="s">
        <v>420</v>
      </c>
      <c r="F130" t="s">
        <v>1321</v>
      </c>
      <c r="G130" s="171">
        <v>35000</v>
      </c>
      <c r="H130" s="485">
        <f t="shared" si="2"/>
        <v>2292500</v>
      </c>
    </row>
    <row r="131" spans="3:8" x14ac:dyDescent="0.3">
      <c r="C131" s="1219"/>
      <c r="D131" s="1221"/>
      <c r="E131" s="499" t="s">
        <v>421</v>
      </c>
      <c r="F131" t="s">
        <v>1322</v>
      </c>
      <c r="G131" s="171">
        <v>35000</v>
      </c>
      <c r="H131" s="485">
        <f t="shared" ref="H131:H196" si="3">+G131*65.5</f>
        <v>2292500</v>
      </c>
    </row>
    <row r="132" spans="3:8" x14ac:dyDescent="0.3">
      <c r="C132" s="1219"/>
      <c r="D132" s="1221"/>
      <c r="E132" s="499" t="s">
        <v>422</v>
      </c>
      <c r="F132" t="s">
        <v>1323</v>
      </c>
      <c r="G132" s="171">
        <v>35000</v>
      </c>
      <c r="H132" s="485">
        <f t="shared" si="3"/>
        <v>2292500</v>
      </c>
    </row>
    <row r="133" spans="3:8" x14ac:dyDescent="0.3">
      <c r="C133" s="1219"/>
      <c r="D133" s="1221"/>
      <c r="E133" s="499" t="s">
        <v>423</v>
      </c>
      <c r="F133" t="s">
        <v>1324</v>
      </c>
      <c r="G133" s="171">
        <v>15000</v>
      </c>
      <c r="H133" s="485">
        <f t="shared" si="3"/>
        <v>982500</v>
      </c>
    </row>
    <row r="134" spans="3:8" x14ac:dyDescent="0.3">
      <c r="C134" s="1219"/>
      <c r="D134" s="1221"/>
      <c r="E134" s="499" t="s">
        <v>424</v>
      </c>
      <c r="F134" t="s">
        <v>1325</v>
      </c>
      <c r="G134" s="171">
        <v>900</v>
      </c>
      <c r="H134" s="485">
        <f t="shared" si="3"/>
        <v>58950</v>
      </c>
    </row>
    <row r="135" spans="3:8" x14ac:dyDescent="0.3">
      <c r="C135" s="1219"/>
      <c r="D135" s="1221"/>
      <c r="E135" s="499" t="s">
        <v>425</v>
      </c>
      <c r="F135" t="s">
        <v>1326</v>
      </c>
      <c r="G135" s="171">
        <v>4000</v>
      </c>
      <c r="H135" s="485">
        <f t="shared" si="3"/>
        <v>262000</v>
      </c>
    </row>
    <row r="136" spans="3:8" x14ac:dyDescent="0.3">
      <c r="C136" s="1219"/>
      <c r="D136" s="1221"/>
      <c r="E136" s="499"/>
      <c r="F136" t="s">
        <v>1327</v>
      </c>
      <c r="G136" s="171">
        <v>65000</v>
      </c>
      <c r="H136" s="485">
        <f t="shared" si="3"/>
        <v>4257500</v>
      </c>
    </row>
    <row r="137" spans="3:8" x14ac:dyDescent="0.3">
      <c r="C137" s="1219"/>
      <c r="D137" s="1221"/>
      <c r="E137" s="499"/>
      <c r="F137" t="s">
        <v>1328</v>
      </c>
      <c r="G137" s="171">
        <v>30000</v>
      </c>
      <c r="H137" s="485">
        <f t="shared" si="3"/>
        <v>1965000</v>
      </c>
    </row>
    <row r="138" spans="3:8" x14ac:dyDescent="0.3">
      <c r="C138" s="1219"/>
      <c r="D138" s="1221"/>
      <c r="E138" s="499"/>
      <c r="F138" t="s">
        <v>1329</v>
      </c>
      <c r="G138" s="171">
        <v>3500</v>
      </c>
      <c r="H138" s="485">
        <f t="shared" si="3"/>
        <v>229250</v>
      </c>
    </row>
    <row r="139" spans="3:8" x14ac:dyDescent="0.3">
      <c r="C139" s="1219"/>
      <c r="D139" s="1221"/>
      <c r="E139" s="499"/>
      <c r="F139" t="s">
        <v>1330</v>
      </c>
      <c r="G139" s="171">
        <v>727.49</v>
      </c>
      <c r="H139" s="485">
        <f t="shared" si="3"/>
        <v>47650.595000000001</v>
      </c>
    </row>
    <row r="140" spans="3:8" x14ac:dyDescent="0.3">
      <c r="C140" s="1219"/>
      <c r="D140" s="1221"/>
      <c r="E140" s="499"/>
      <c r="F140" t="s">
        <v>1331</v>
      </c>
      <c r="G140" s="171">
        <v>727.49</v>
      </c>
      <c r="H140" s="485">
        <f t="shared" si="3"/>
        <v>47650.595000000001</v>
      </c>
    </row>
    <row r="141" spans="3:8" x14ac:dyDescent="0.3">
      <c r="C141" s="1219"/>
      <c r="D141" s="1221"/>
      <c r="E141" s="499"/>
      <c r="F141" t="s">
        <v>1332</v>
      </c>
      <c r="G141" s="171">
        <v>10000</v>
      </c>
      <c r="H141" s="485">
        <f t="shared" si="3"/>
        <v>655000</v>
      </c>
    </row>
    <row r="142" spans="3:8" x14ac:dyDescent="0.3">
      <c r="C142" s="1219"/>
      <c r="D142" s="1221"/>
      <c r="E142" s="499"/>
      <c r="F142" t="s">
        <v>1333</v>
      </c>
      <c r="G142" s="171">
        <v>24000</v>
      </c>
      <c r="H142" s="485">
        <f t="shared" si="3"/>
        <v>1572000</v>
      </c>
    </row>
    <row r="143" spans="3:8" x14ac:dyDescent="0.3">
      <c r="C143" s="1219"/>
      <c r="D143" s="1221"/>
      <c r="E143" s="499"/>
      <c r="F143" t="s">
        <v>1334</v>
      </c>
      <c r="G143" s="171">
        <v>900</v>
      </c>
      <c r="H143" s="485">
        <f t="shared" si="3"/>
        <v>58950</v>
      </c>
    </row>
    <row r="144" spans="3:8" x14ac:dyDescent="0.3">
      <c r="C144" s="1219"/>
      <c r="D144" s="1221"/>
      <c r="E144" s="499"/>
      <c r="F144" t="s">
        <v>1335</v>
      </c>
      <c r="G144" s="171">
        <v>3500</v>
      </c>
      <c r="H144" s="485">
        <f t="shared" si="3"/>
        <v>229250</v>
      </c>
    </row>
    <row r="145" spans="3:8" x14ac:dyDescent="0.3">
      <c r="C145" s="1219"/>
      <c r="D145" s="1221"/>
      <c r="E145" s="499"/>
      <c r="F145" t="s">
        <v>1336</v>
      </c>
      <c r="G145" s="171">
        <v>727.49</v>
      </c>
      <c r="H145" s="485">
        <f t="shared" si="3"/>
        <v>47650.595000000001</v>
      </c>
    </row>
    <row r="146" spans="3:8" x14ac:dyDescent="0.3">
      <c r="C146" s="1219"/>
      <c r="D146" s="1221"/>
      <c r="E146" s="499"/>
      <c r="F146" t="s">
        <v>1337</v>
      </c>
      <c r="G146" s="171">
        <v>5000</v>
      </c>
      <c r="H146" s="485">
        <f t="shared" si="3"/>
        <v>327500</v>
      </c>
    </row>
    <row r="147" spans="3:8" x14ac:dyDescent="0.3">
      <c r="C147" s="1219"/>
      <c r="D147" s="1221"/>
      <c r="E147" s="499"/>
      <c r="F147" t="s">
        <v>1338</v>
      </c>
      <c r="G147" s="171">
        <v>1000</v>
      </c>
      <c r="H147" s="485">
        <f t="shared" si="3"/>
        <v>65500</v>
      </c>
    </row>
    <row r="148" spans="3:8" x14ac:dyDescent="0.3">
      <c r="C148" s="1219"/>
      <c r="D148" s="1221"/>
      <c r="E148" s="499"/>
      <c r="F148" t="s">
        <v>1339</v>
      </c>
      <c r="G148" s="171">
        <v>3500</v>
      </c>
      <c r="H148" s="485">
        <f t="shared" si="3"/>
        <v>229250</v>
      </c>
    </row>
    <row r="149" spans="3:8" x14ac:dyDescent="0.3">
      <c r="C149" s="1219"/>
      <c r="D149" s="1221"/>
      <c r="E149" s="499"/>
      <c r="F149" t="s">
        <v>1340</v>
      </c>
      <c r="G149" s="171">
        <v>25000</v>
      </c>
      <c r="H149" s="485">
        <f t="shared" si="3"/>
        <v>1637500</v>
      </c>
    </row>
    <row r="150" spans="3:8" x14ac:dyDescent="0.3">
      <c r="C150" s="1219"/>
      <c r="D150" s="1221"/>
      <c r="E150" s="499"/>
      <c r="F150" t="s">
        <v>1341</v>
      </c>
      <c r="G150" s="171">
        <v>12000</v>
      </c>
      <c r="H150" s="485">
        <f t="shared" si="3"/>
        <v>786000</v>
      </c>
    </row>
    <row r="151" spans="3:8" x14ac:dyDescent="0.3">
      <c r="C151" s="1219"/>
      <c r="D151" s="1221"/>
      <c r="E151" s="499"/>
      <c r="F151" t="s">
        <v>1342</v>
      </c>
      <c r="G151" s="171">
        <v>12000</v>
      </c>
      <c r="H151" s="485">
        <f t="shared" si="3"/>
        <v>786000</v>
      </c>
    </row>
    <row r="152" spans="3:8" x14ac:dyDescent="0.3">
      <c r="C152" s="1219"/>
      <c r="D152" s="1221"/>
      <c r="E152" s="499"/>
      <c r="F152" t="s">
        <v>1343</v>
      </c>
      <c r="G152" s="171">
        <v>15000</v>
      </c>
      <c r="H152" s="485">
        <f t="shared" si="3"/>
        <v>982500</v>
      </c>
    </row>
    <row r="153" spans="3:8" x14ac:dyDescent="0.3">
      <c r="C153" s="1219"/>
      <c r="D153" s="1221"/>
      <c r="E153" s="1220"/>
      <c r="F153" t="s">
        <v>1344</v>
      </c>
      <c r="G153" s="171">
        <v>5000</v>
      </c>
      <c r="H153" s="485">
        <f t="shared" si="3"/>
        <v>327500</v>
      </c>
    </row>
    <row r="154" spans="3:8" x14ac:dyDescent="0.3">
      <c r="C154" s="1219"/>
      <c r="D154" s="1221"/>
      <c r="E154" s="1220"/>
      <c r="F154" t="s">
        <v>1345</v>
      </c>
      <c r="G154" s="171">
        <v>30000</v>
      </c>
      <c r="H154" s="485">
        <f t="shared" si="3"/>
        <v>1965000</v>
      </c>
    </row>
    <row r="155" spans="3:8" x14ac:dyDescent="0.3">
      <c r="C155" s="1219"/>
      <c r="D155" s="1221"/>
      <c r="E155" s="501"/>
      <c r="F155" t="s">
        <v>1346</v>
      </c>
      <c r="G155" s="171">
        <v>12000</v>
      </c>
      <c r="H155" s="485">
        <f t="shared" si="3"/>
        <v>786000</v>
      </c>
    </row>
    <row r="156" spans="3:8" x14ac:dyDescent="0.3">
      <c r="C156" s="1219"/>
      <c r="D156" s="1221"/>
      <c r="E156" s="501"/>
      <c r="F156" t="s">
        <v>1347</v>
      </c>
      <c r="G156" s="171">
        <v>1000</v>
      </c>
      <c r="H156" s="485">
        <f t="shared" si="3"/>
        <v>65500</v>
      </c>
    </row>
    <row r="157" spans="3:8" x14ac:dyDescent="0.3">
      <c r="C157" s="1219"/>
      <c r="D157" s="1221"/>
      <c r="E157" s="501"/>
      <c r="F157" t="s">
        <v>1348</v>
      </c>
      <c r="G157" s="171">
        <v>3000</v>
      </c>
      <c r="H157" s="485">
        <f t="shared" si="3"/>
        <v>196500</v>
      </c>
    </row>
    <row r="158" spans="3:8" x14ac:dyDescent="0.3">
      <c r="C158" s="386"/>
      <c r="D158" s="1221"/>
      <c r="E158" s="501"/>
      <c r="F158" t="s">
        <v>1349</v>
      </c>
      <c r="G158" s="171">
        <v>606.25</v>
      </c>
      <c r="H158" s="485">
        <f t="shared" si="3"/>
        <v>39709.375</v>
      </c>
    </row>
    <row r="159" spans="3:8" x14ac:dyDescent="0.3">
      <c r="C159" s="386"/>
      <c r="D159" s="500"/>
      <c r="E159" s="501"/>
      <c r="F159" t="s">
        <v>1350</v>
      </c>
      <c r="G159" s="171">
        <v>10000</v>
      </c>
      <c r="H159" s="485">
        <v>655000</v>
      </c>
    </row>
    <row r="160" spans="3:8" ht="15" thickBot="1" x14ac:dyDescent="0.35">
      <c r="C160" s="386"/>
      <c r="D160" s="500"/>
      <c r="E160" s="501"/>
      <c r="F160" t="s">
        <v>1351</v>
      </c>
      <c r="G160" s="171">
        <v>48000</v>
      </c>
      <c r="H160" s="485">
        <v>3144000</v>
      </c>
    </row>
    <row r="161" spans="3:9" x14ac:dyDescent="0.3">
      <c r="C161" s="1218" t="s">
        <v>427</v>
      </c>
      <c r="D161" s="504" t="s">
        <v>428</v>
      </c>
      <c r="E161" s="474"/>
      <c r="F161" s="389"/>
      <c r="G161" s="389"/>
      <c r="H161" s="484"/>
    </row>
    <row r="162" spans="3:9" x14ac:dyDescent="0.3">
      <c r="C162" s="1219"/>
      <c r="D162" s="503" t="s">
        <v>429</v>
      </c>
      <c r="E162" s="470"/>
      <c r="G162" s="171"/>
      <c r="H162" s="485"/>
    </row>
    <row r="163" spans="3:9" x14ac:dyDescent="0.3">
      <c r="C163" s="1219"/>
      <c r="D163" s="503" t="s">
        <v>430</v>
      </c>
      <c r="E163" s="470"/>
      <c r="G163" s="171"/>
      <c r="H163" s="485"/>
    </row>
    <row r="164" spans="3:9" ht="29.4" thickBot="1" x14ac:dyDescent="0.35">
      <c r="C164" s="1219"/>
      <c r="D164" s="503" t="s">
        <v>431</v>
      </c>
      <c r="E164" s="470"/>
      <c r="G164" s="171"/>
      <c r="H164" s="485"/>
    </row>
    <row r="165" spans="3:9" x14ac:dyDescent="0.3">
      <c r="C165" s="1036" t="s">
        <v>432</v>
      </c>
      <c r="D165" s="1216" t="s">
        <v>433</v>
      </c>
      <c r="E165" s="506" t="s">
        <v>434</v>
      </c>
      <c r="F165" s="389" t="s">
        <v>1352</v>
      </c>
      <c r="G165" s="483">
        <v>55000</v>
      </c>
      <c r="H165" s="484">
        <f t="shared" si="3"/>
        <v>3602500</v>
      </c>
      <c r="I165" s="171">
        <f>+SUM(G165:G172)</f>
        <v>470000</v>
      </c>
    </row>
    <row r="166" spans="3:9" x14ac:dyDescent="0.3">
      <c r="C166" s="1037"/>
      <c r="D166" s="1217"/>
      <c r="E166" s="505" t="s">
        <v>435</v>
      </c>
      <c r="F166" t="s">
        <v>1353</v>
      </c>
      <c r="G166" s="171">
        <v>25000</v>
      </c>
      <c r="H166" s="485">
        <f t="shared" si="3"/>
        <v>1637500</v>
      </c>
    </row>
    <row r="167" spans="3:9" x14ac:dyDescent="0.3">
      <c r="C167" s="1037"/>
      <c r="D167" s="1217"/>
      <c r="E167" s="505" t="s">
        <v>436</v>
      </c>
      <c r="F167" t="s">
        <v>1354</v>
      </c>
      <c r="G167" s="171">
        <v>30000</v>
      </c>
      <c r="H167" s="485">
        <f t="shared" si="3"/>
        <v>1965000</v>
      </c>
    </row>
    <row r="168" spans="3:9" x14ac:dyDescent="0.3">
      <c r="C168" s="1037"/>
      <c r="D168" s="1217" t="s">
        <v>437</v>
      </c>
      <c r="E168" s="472" t="s">
        <v>438</v>
      </c>
      <c r="F168" t="s">
        <v>1355</v>
      </c>
      <c r="G168" s="171">
        <v>30000</v>
      </c>
      <c r="H168" s="485">
        <f t="shared" si="3"/>
        <v>1965000</v>
      </c>
    </row>
    <row r="169" spans="3:9" x14ac:dyDescent="0.3">
      <c r="C169" s="1037"/>
      <c r="D169" s="1217"/>
      <c r="E169" s="472" t="s">
        <v>439</v>
      </c>
      <c r="F169" t="s">
        <v>1356</v>
      </c>
      <c r="G169" s="171">
        <v>25000</v>
      </c>
      <c r="H169" s="485">
        <f t="shared" si="3"/>
        <v>1637500</v>
      </c>
    </row>
    <row r="170" spans="3:9" x14ac:dyDescent="0.3">
      <c r="C170" s="1037"/>
      <c r="D170" s="1217"/>
      <c r="E170" s="472" t="s">
        <v>440</v>
      </c>
      <c r="F170" t="s">
        <v>1357</v>
      </c>
      <c r="G170" s="171">
        <v>280000</v>
      </c>
      <c r="H170" s="485">
        <f t="shared" si="3"/>
        <v>18340000</v>
      </c>
    </row>
    <row r="171" spans="3:9" x14ac:dyDescent="0.3">
      <c r="C171" s="1037"/>
      <c r="D171" s="1217"/>
      <c r="E171" s="472" t="s">
        <v>441</v>
      </c>
      <c r="F171" t="s">
        <v>1358</v>
      </c>
      <c r="G171" s="171">
        <v>25000</v>
      </c>
      <c r="H171" s="485">
        <f t="shared" ref="H171" si="4">+G171*65.5</f>
        <v>1637500</v>
      </c>
    </row>
    <row r="172" spans="3:9" x14ac:dyDescent="0.3">
      <c r="C172" s="1037"/>
      <c r="D172" s="1217" t="s">
        <v>442</v>
      </c>
      <c r="E172" s="505" t="s">
        <v>443</v>
      </c>
      <c r="G172" s="171"/>
      <c r="H172" s="485"/>
    </row>
    <row r="173" spans="3:9" ht="28.8" x14ac:dyDescent="0.3">
      <c r="C173" s="1037"/>
      <c r="D173" s="1217"/>
      <c r="E173" s="505" t="s">
        <v>444</v>
      </c>
      <c r="G173" s="171"/>
      <c r="H173" s="485"/>
    </row>
    <row r="174" spans="3:9" x14ac:dyDescent="0.3">
      <c r="C174" s="1037"/>
      <c r="D174" s="1217"/>
      <c r="E174" s="505" t="s">
        <v>445</v>
      </c>
      <c r="G174" s="171"/>
      <c r="H174" s="485"/>
    </row>
    <row r="175" spans="3:9" ht="29.4" thickBot="1" x14ac:dyDescent="0.35">
      <c r="C175" s="1037"/>
      <c r="D175" s="1217"/>
      <c r="E175" s="505" t="s">
        <v>446</v>
      </c>
      <c r="G175" s="171"/>
      <c r="H175" s="485"/>
    </row>
    <row r="176" spans="3:9" ht="29.4" thickBot="1" x14ac:dyDescent="0.35">
      <c r="C176" s="385" t="s">
        <v>447</v>
      </c>
      <c r="D176" s="473" t="s">
        <v>448</v>
      </c>
      <c r="E176" s="493" t="s">
        <v>449</v>
      </c>
      <c r="F176" s="389"/>
      <c r="G176" s="483"/>
      <c r="H176" s="484"/>
    </row>
    <row r="177" spans="3:9" x14ac:dyDescent="0.3">
      <c r="C177" s="1218" t="s">
        <v>451</v>
      </c>
      <c r="D177" s="474"/>
      <c r="E177" s="474"/>
      <c r="F177" s="389" t="s">
        <v>1359</v>
      </c>
      <c r="G177" s="483">
        <v>350000</v>
      </c>
      <c r="H177" s="484">
        <f t="shared" si="3"/>
        <v>22925000</v>
      </c>
      <c r="I177" s="171">
        <f>+SUM(G177:G185)</f>
        <v>1110600</v>
      </c>
    </row>
    <row r="178" spans="3:9" x14ac:dyDescent="0.3">
      <c r="C178" s="1219"/>
      <c r="D178" s="470"/>
      <c r="E178" s="470"/>
      <c r="F178" t="s">
        <v>1360</v>
      </c>
      <c r="G178" s="171">
        <v>350000</v>
      </c>
      <c r="H178" s="485">
        <f t="shared" si="3"/>
        <v>22925000</v>
      </c>
    </row>
    <row r="179" spans="3:9" x14ac:dyDescent="0.3">
      <c r="C179" s="1219"/>
      <c r="D179" s="470"/>
      <c r="E179" s="470"/>
      <c r="F179" t="s">
        <v>1361</v>
      </c>
      <c r="G179" s="171">
        <v>163000</v>
      </c>
      <c r="H179" s="485">
        <f t="shared" si="3"/>
        <v>10676500</v>
      </c>
    </row>
    <row r="180" spans="3:9" x14ac:dyDescent="0.3">
      <c r="C180" s="1219"/>
      <c r="D180" s="470"/>
      <c r="E180" s="470"/>
      <c r="F180" t="s">
        <v>1362</v>
      </c>
      <c r="G180" s="171">
        <v>200000</v>
      </c>
      <c r="H180" s="485">
        <f t="shared" si="3"/>
        <v>13100000</v>
      </c>
    </row>
    <row r="181" spans="3:9" x14ac:dyDescent="0.3">
      <c r="C181" s="1219"/>
      <c r="D181" s="470"/>
      <c r="E181" s="470"/>
      <c r="F181" t="s">
        <v>1363</v>
      </c>
      <c r="G181" s="171">
        <v>3500</v>
      </c>
      <c r="H181" s="485">
        <f t="shared" si="3"/>
        <v>229250</v>
      </c>
    </row>
    <row r="182" spans="3:9" x14ac:dyDescent="0.3">
      <c r="C182" s="1219"/>
      <c r="D182" s="470"/>
      <c r="E182" s="470"/>
      <c r="F182" t="s">
        <v>1364</v>
      </c>
      <c r="G182" s="171">
        <v>15000</v>
      </c>
      <c r="H182" s="485">
        <f t="shared" si="3"/>
        <v>982500</v>
      </c>
    </row>
    <row r="183" spans="3:9" x14ac:dyDescent="0.3">
      <c r="C183" s="1219"/>
      <c r="D183" s="470"/>
      <c r="E183" s="470"/>
      <c r="F183" t="s">
        <v>1365</v>
      </c>
      <c r="G183" s="171">
        <v>4200</v>
      </c>
      <c r="H183" s="485">
        <f t="shared" si="3"/>
        <v>275100</v>
      </c>
    </row>
    <row r="184" spans="3:9" x14ac:dyDescent="0.3">
      <c r="C184" s="1219"/>
      <c r="D184" s="470"/>
      <c r="E184" s="470"/>
      <c r="F184" t="s">
        <v>1366</v>
      </c>
      <c r="G184" s="171">
        <v>24000</v>
      </c>
      <c r="H184" s="485">
        <f t="shared" si="3"/>
        <v>1572000</v>
      </c>
    </row>
    <row r="185" spans="3:9" ht="15" thickBot="1" x14ac:dyDescent="0.35">
      <c r="C185" s="1219"/>
      <c r="D185" s="470"/>
      <c r="E185" s="470"/>
      <c r="F185" t="s">
        <v>1367</v>
      </c>
      <c r="G185" s="171">
        <v>900</v>
      </c>
      <c r="H185" s="485">
        <f t="shared" si="3"/>
        <v>58950</v>
      </c>
    </row>
    <row r="186" spans="3:9" x14ac:dyDescent="0.3">
      <c r="C186" s="1036" t="s">
        <v>453</v>
      </c>
      <c r="D186" s="474"/>
      <c r="E186" s="474"/>
      <c r="F186" s="389" t="s">
        <v>1368</v>
      </c>
      <c r="G186" s="483">
        <v>150000</v>
      </c>
      <c r="H186" s="484">
        <f t="shared" si="3"/>
        <v>9825000</v>
      </c>
      <c r="I186" s="171">
        <f>+SUM(G186:G198)</f>
        <v>828875.99</v>
      </c>
    </row>
    <row r="187" spans="3:9" x14ac:dyDescent="0.3">
      <c r="C187" s="1037"/>
      <c r="D187" s="470"/>
      <c r="E187" s="470"/>
      <c r="F187" t="s">
        <v>1369</v>
      </c>
      <c r="G187" s="171">
        <v>45000</v>
      </c>
      <c r="H187" s="485">
        <f t="shared" si="3"/>
        <v>2947500</v>
      </c>
    </row>
    <row r="188" spans="3:9" x14ac:dyDescent="0.3">
      <c r="C188" s="1037"/>
      <c r="D188" s="470"/>
      <c r="E188" s="470"/>
      <c r="F188" t="s">
        <v>1370</v>
      </c>
      <c r="G188" s="171">
        <v>100000</v>
      </c>
      <c r="H188" s="485">
        <f t="shared" si="3"/>
        <v>6550000</v>
      </c>
    </row>
    <row r="189" spans="3:9" x14ac:dyDescent="0.3">
      <c r="C189" s="1037"/>
      <c r="D189" s="470"/>
      <c r="E189" s="470"/>
      <c r="F189" t="s">
        <v>1371</v>
      </c>
      <c r="G189" s="171">
        <v>19200</v>
      </c>
      <c r="H189" s="485">
        <f t="shared" si="3"/>
        <v>1257600</v>
      </c>
    </row>
    <row r="190" spans="3:9" x14ac:dyDescent="0.3">
      <c r="C190" s="1037"/>
      <c r="D190" s="470"/>
      <c r="E190" s="470"/>
      <c r="F190" t="s">
        <v>1372</v>
      </c>
      <c r="G190" s="171">
        <v>250000</v>
      </c>
      <c r="H190" s="485">
        <f t="shared" si="3"/>
        <v>16375000</v>
      </c>
    </row>
    <row r="191" spans="3:9" x14ac:dyDescent="0.3">
      <c r="C191" s="1037"/>
      <c r="D191" s="470"/>
      <c r="E191" s="470"/>
      <c r="F191" t="s">
        <v>1373</v>
      </c>
      <c r="G191" s="171">
        <v>100000</v>
      </c>
      <c r="H191" s="485">
        <f t="shared" si="3"/>
        <v>6550000</v>
      </c>
    </row>
    <row r="192" spans="3:9" x14ac:dyDescent="0.3">
      <c r="C192" s="1037"/>
      <c r="D192" s="470"/>
      <c r="E192" s="470"/>
      <c r="F192" t="s">
        <v>1374</v>
      </c>
      <c r="G192" s="171">
        <v>25000</v>
      </c>
      <c r="H192" s="485">
        <f t="shared" si="3"/>
        <v>1637500</v>
      </c>
    </row>
    <row r="193" spans="3:8" x14ac:dyDescent="0.3">
      <c r="C193" s="1037"/>
      <c r="D193" s="470"/>
      <c r="E193" s="470"/>
      <c r="F193" t="s">
        <v>1375</v>
      </c>
      <c r="G193" s="171">
        <v>3500</v>
      </c>
      <c r="H193" s="485">
        <f t="shared" si="3"/>
        <v>229250</v>
      </c>
    </row>
    <row r="194" spans="3:8" x14ac:dyDescent="0.3">
      <c r="C194" s="1037"/>
      <c r="D194" s="470"/>
      <c r="E194" s="470"/>
      <c r="F194" t="s">
        <v>1376</v>
      </c>
      <c r="G194" s="171">
        <v>775.99</v>
      </c>
      <c r="H194" s="485">
        <f t="shared" si="3"/>
        <v>50827.345000000001</v>
      </c>
    </row>
    <row r="195" spans="3:8" x14ac:dyDescent="0.3">
      <c r="C195" s="1037"/>
      <c r="D195" s="470"/>
      <c r="E195" s="470"/>
      <c r="F195" t="s">
        <v>1377</v>
      </c>
      <c r="G195" s="171">
        <v>12000</v>
      </c>
      <c r="H195" s="485">
        <f t="shared" si="3"/>
        <v>786000</v>
      </c>
    </row>
    <row r="196" spans="3:8" x14ac:dyDescent="0.3">
      <c r="C196" s="1037"/>
      <c r="D196" s="470"/>
      <c r="E196" s="470"/>
      <c r="F196" t="s">
        <v>1378</v>
      </c>
      <c r="G196" s="171">
        <v>22500</v>
      </c>
      <c r="H196" s="485">
        <f t="shared" si="3"/>
        <v>1473750</v>
      </c>
    </row>
    <row r="197" spans="3:8" x14ac:dyDescent="0.3">
      <c r="C197" s="1037"/>
      <c r="D197" s="470"/>
      <c r="E197" s="470"/>
      <c r="F197" t="s">
        <v>1379</v>
      </c>
      <c r="G197" s="171">
        <v>100000</v>
      </c>
      <c r="H197" s="485">
        <f t="shared" ref="H197:H198" si="5">+G197*65.5</f>
        <v>6550000</v>
      </c>
    </row>
    <row r="198" spans="3:8" ht="15" thickBot="1" x14ac:dyDescent="0.35">
      <c r="C198" s="1037"/>
      <c r="D198" s="470"/>
      <c r="E198" s="470"/>
      <c r="F198" t="s">
        <v>1380</v>
      </c>
      <c r="G198" s="171">
        <v>900</v>
      </c>
      <c r="H198" s="485">
        <f t="shared" si="5"/>
        <v>58950</v>
      </c>
    </row>
    <row r="199" spans="3:8" ht="28.8" x14ac:dyDescent="0.3">
      <c r="C199" s="1036" t="s">
        <v>457</v>
      </c>
      <c r="D199" s="473" t="s">
        <v>458</v>
      </c>
      <c r="E199" s="389"/>
      <c r="F199" s="389"/>
      <c r="G199" s="483"/>
      <c r="H199" s="507"/>
    </row>
    <row r="200" spans="3:8" x14ac:dyDescent="0.3">
      <c r="C200" s="1037"/>
      <c r="D200" s="469" t="s">
        <v>459</v>
      </c>
      <c r="G200" s="171"/>
      <c r="H200" s="508"/>
    </row>
    <row r="201" spans="3:8" ht="15" thickBot="1" x14ac:dyDescent="0.35">
      <c r="C201" s="1037"/>
      <c r="D201" s="469" t="s">
        <v>460</v>
      </c>
      <c r="G201" s="171"/>
      <c r="H201" s="508"/>
    </row>
    <row r="202" spans="3:8" x14ac:dyDescent="0.3">
      <c r="C202" s="1036" t="s">
        <v>461</v>
      </c>
      <c r="D202" s="473" t="s">
        <v>462</v>
      </c>
      <c r="E202" s="389"/>
      <c r="F202" s="389"/>
      <c r="G202" s="483"/>
      <c r="H202" s="507"/>
    </row>
    <row r="203" spans="3:8" x14ac:dyDescent="0.3">
      <c r="C203" s="1037"/>
      <c r="D203" s="469" t="s">
        <v>463</v>
      </c>
      <c r="G203" s="171"/>
      <c r="H203" s="508"/>
    </row>
    <row r="204" spans="3:8" ht="15" thickBot="1" x14ac:dyDescent="0.35">
      <c r="C204" s="1038"/>
      <c r="D204" s="478" t="s">
        <v>464</v>
      </c>
      <c r="E204" s="390"/>
      <c r="F204" s="390"/>
      <c r="G204" s="486"/>
      <c r="H204" s="509"/>
    </row>
    <row r="205" spans="3:8" ht="16.2" thickBot="1" x14ac:dyDescent="0.35">
      <c r="F205" s="510" t="s">
        <v>1253</v>
      </c>
      <c r="G205" s="511">
        <f>+SUM(G3:G204)</f>
        <v>8403120.5800000001</v>
      </c>
      <c r="H205" s="512">
        <f>+SUM(H3:H204)</f>
        <v>550404397.99000001</v>
      </c>
    </row>
    <row r="206" spans="3:8" x14ac:dyDescent="0.3">
      <c r="G206" s="171"/>
    </row>
  </sheetData>
  <sortState xmlns:xlrd2="http://schemas.microsoft.com/office/spreadsheetml/2017/richdata2" ref="F78:G107">
    <sortCondition ref="F77:F107"/>
  </sortState>
  <mergeCells count="40">
    <mergeCell ref="C23:C24"/>
    <mergeCell ref="C161:C164"/>
    <mergeCell ref="D128:D158"/>
    <mergeCell ref="C3:C4"/>
    <mergeCell ref="C5:C7"/>
    <mergeCell ref="C8:C12"/>
    <mergeCell ref="C13:C17"/>
    <mergeCell ref="C18:C21"/>
    <mergeCell ref="D59:D61"/>
    <mergeCell ref="D62:D64"/>
    <mergeCell ref="D65:D66"/>
    <mergeCell ref="D67:D69"/>
    <mergeCell ref="D25:D30"/>
    <mergeCell ref="D31:D35"/>
    <mergeCell ref="D36:D39"/>
    <mergeCell ref="D40:D43"/>
    <mergeCell ref="D44:D47"/>
    <mergeCell ref="D48:D51"/>
    <mergeCell ref="C202:C204"/>
    <mergeCell ref="C77:C110"/>
    <mergeCell ref="C111:C123"/>
    <mergeCell ref="C165:C175"/>
    <mergeCell ref="C199:C201"/>
    <mergeCell ref="C25:C58"/>
    <mergeCell ref="G2:H2"/>
    <mergeCell ref="D23:D24"/>
    <mergeCell ref="C186:C198"/>
    <mergeCell ref="C177:C185"/>
    <mergeCell ref="E153:E154"/>
    <mergeCell ref="C124:C157"/>
    <mergeCell ref="D165:D167"/>
    <mergeCell ref="D168:D171"/>
    <mergeCell ref="D172:D175"/>
    <mergeCell ref="C70:C76"/>
    <mergeCell ref="D70:D72"/>
    <mergeCell ref="D73:D74"/>
    <mergeCell ref="D124:D127"/>
    <mergeCell ref="D52:D55"/>
    <mergeCell ref="D56:D58"/>
    <mergeCell ref="C59:C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2961-2B53-456E-BEDB-247B38056C56}">
  <dimension ref="B1:W62"/>
  <sheetViews>
    <sheetView zoomScale="40" zoomScaleNormal="40" workbookViewId="0">
      <selection activeCell="G24" sqref="G24"/>
    </sheetView>
    <sheetView workbookViewId="1"/>
  </sheetViews>
  <sheetFormatPr baseColWidth="10" defaultColWidth="11.5546875" defaultRowHeight="14.4" x14ac:dyDescent="0.3"/>
  <cols>
    <col min="1" max="1" width="11.5546875" style="1"/>
    <col min="2" max="2" width="19.6640625" style="1" customWidth="1"/>
    <col min="3" max="8" width="40.88671875" style="1" customWidth="1"/>
    <col min="9" max="9" width="35" style="1" bestFit="1" customWidth="1"/>
    <col min="10" max="10" width="40.33203125" style="1" bestFit="1" customWidth="1"/>
    <col min="11" max="11" width="36.33203125" style="1" bestFit="1" customWidth="1"/>
    <col min="12" max="13" width="33.88671875" style="1" customWidth="1"/>
    <col min="14" max="14" width="40.33203125" style="1" customWidth="1"/>
    <col min="15" max="15" width="46.6640625" style="1" customWidth="1"/>
    <col min="16" max="16" width="38.88671875" style="1" customWidth="1"/>
    <col min="17" max="17" width="57.6640625" style="1" bestFit="1" customWidth="1"/>
    <col min="18" max="18" width="45.109375" style="1" customWidth="1"/>
    <col min="19" max="19" width="27.6640625" style="1" bestFit="1" customWidth="1"/>
    <col min="20" max="20" width="23.33203125" style="1" bestFit="1" customWidth="1"/>
    <col min="21" max="21" width="34.33203125" style="1" bestFit="1" customWidth="1"/>
    <col min="22" max="22" width="51" style="1" bestFit="1" customWidth="1"/>
    <col min="23" max="23" width="56.6640625" style="1" bestFit="1" customWidth="1"/>
    <col min="24" max="16384" width="11.5546875" style="1"/>
  </cols>
  <sheetData>
    <row r="1" spans="2:23" ht="15" thickBot="1" x14ac:dyDescent="0.35"/>
    <row r="2" spans="2:23" ht="14.4" customHeight="1" x14ac:dyDescent="0.3">
      <c r="B2" s="1000" t="e" vm="1">
        <v>#VALUE!</v>
      </c>
      <c r="C2" s="1001"/>
      <c r="D2" s="1002"/>
      <c r="E2" s="994" t="s">
        <v>1501</v>
      </c>
      <c r="F2" s="995"/>
      <c r="G2" s="995"/>
      <c r="H2" s="995"/>
      <c r="I2" s="995"/>
      <c r="J2" s="995"/>
      <c r="K2" s="995"/>
      <c r="L2" s="995"/>
      <c r="M2" s="995"/>
      <c r="N2" s="995"/>
      <c r="O2" s="995"/>
      <c r="P2" s="995"/>
      <c r="Q2" s="995"/>
      <c r="R2" s="995"/>
      <c r="S2" s="995"/>
      <c r="T2" s="996"/>
      <c r="U2" s="994" t="e" vm="2">
        <v>#VALUE!</v>
      </c>
      <c r="V2" s="995"/>
      <c r="W2" s="996"/>
    </row>
    <row r="3" spans="2:23" ht="14.4" customHeight="1" x14ac:dyDescent="0.3">
      <c r="B3" s="1003"/>
      <c r="C3" s="1004"/>
      <c r="D3" s="1005"/>
      <c r="E3" s="997"/>
      <c r="F3" s="998"/>
      <c r="G3" s="998"/>
      <c r="H3" s="998"/>
      <c r="I3" s="998"/>
      <c r="J3" s="998"/>
      <c r="K3" s="998"/>
      <c r="L3" s="998"/>
      <c r="M3" s="998"/>
      <c r="N3" s="998"/>
      <c r="O3" s="998"/>
      <c r="P3" s="998"/>
      <c r="Q3" s="998"/>
      <c r="R3" s="998"/>
      <c r="S3" s="998"/>
      <c r="T3" s="999"/>
      <c r="U3" s="997"/>
      <c r="V3" s="998"/>
      <c r="W3" s="999"/>
    </row>
    <row r="4" spans="2:23" ht="14.4" customHeight="1" x14ac:dyDescent="0.3">
      <c r="B4" s="1003"/>
      <c r="C4" s="1004"/>
      <c r="D4" s="1005"/>
      <c r="E4" s="997"/>
      <c r="F4" s="998"/>
      <c r="G4" s="998"/>
      <c r="H4" s="998"/>
      <c r="I4" s="998"/>
      <c r="J4" s="998"/>
      <c r="K4" s="998"/>
      <c r="L4" s="998"/>
      <c r="M4" s="998"/>
      <c r="N4" s="998"/>
      <c r="O4" s="998"/>
      <c r="P4" s="998"/>
      <c r="Q4" s="998"/>
      <c r="R4" s="998"/>
      <c r="S4" s="998"/>
      <c r="T4" s="999"/>
      <c r="U4" s="997"/>
      <c r="V4" s="998"/>
      <c r="W4" s="999"/>
    </row>
    <row r="5" spans="2:23" ht="14.4" customHeight="1" x14ac:dyDescent="0.3">
      <c r="B5" s="1003"/>
      <c r="C5" s="1004"/>
      <c r="D5" s="1005"/>
      <c r="E5" s="997"/>
      <c r="F5" s="998"/>
      <c r="G5" s="998"/>
      <c r="H5" s="998"/>
      <c r="I5" s="998"/>
      <c r="J5" s="998"/>
      <c r="K5" s="998"/>
      <c r="L5" s="998"/>
      <c r="M5" s="998"/>
      <c r="N5" s="998"/>
      <c r="O5" s="998"/>
      <c r="P5" s="998"/>
      <c r="Q5" s="998"/>
      <c r="R5" s="998"/>
      <c r="S5" s="998"/>
      <c r="T5" s="999"/>
      <c r="U5" s="997"/>
      <c r="V5" s="998"/>
      <c r="W5" s="999"/>
    </row>
    <row r="6" spans="2:23" ht="14.4" customHeight="1" x14ac:dyDescent="0.3">
      <c r="B6" s="1003"/>
      <c r="C6" s="1004"/>
      <c r="D6" s="1005"/>
      <c r="E6" s="1018" t="s">
        <v>1502</v>
      </c>
      <c r="F6" s="1019"/>
      <c r="G6" s="1019"/>
      <c r="H6" s="1019"/>
      <c r="I6" s="1019"/>
      <c r="J6" s="1019"/>
      <c r="K6" s="1019"/>
      <c r="L6" s="1019"/>
      <c r="M6" s="1019"/>
      <c r="N6" s="1019"/>
      <c r="O6" s="1019"/>
      <c r="P6" s="1019"/>
      <c r="Q6" s="1019"/>
      <c r="R6" s="1019"/>
      <c r="S6" s="1019"/>
      <c r="T6" s="1020"/>
      <c r="U6" s="997"/>
      <c r="V6" s="998"/>
      <c r="W6" s="999"/>
    </row>
    <row r="7" spans="2:23" ht="14.4" customHeight="1" x14ac:dyDescent="0.3">
      <c r="B7" s="1003"/>
      <c r="C7" s="1004"/>
      <c r="D7" s="1005"/>
      <c r="E7" s="1018"/>
      <c r="F7" s="1019"/>
      <c r="G7" s="1019"/>
      <c r="H7" s="1019"/>
      <c r="I7" s="1019"/>
      <c r="J7" s="1019"/>
      <c r="K7" s="1019"/>
      <c r="L7" s="1019"/>
      <c r="M7" s="1019"/>
      <c r="N7" s="1019"/>
      <c r="O7" s="1019"/>
      <c r="P7" s="1019"/>
      <c r="Q7" s="1019"/>
      <c r="R7" s="1019"/>
      <c r="S7" s="1019"/>
      <c r="T7" s="1020"/>
      <c r="U7" s="997"/>
      <c r="V7" s="998"/>
      <c r="W7" s="999"/>
    </row>
    <row r="8" spans="2:23" ht="14.4" customHeight="1" x14ac:dyDescent="0.3">
      <c r="B8" s="1003"/>
      <c r="C8" s="1004"/>
      <c r="D8" s="1005"/>
      <c r="E8" s="1018"/>
      <c r="F8" s="1019"/>
      <c r="G8" s="1019"/>
      <c r="H8" s="1019"/>
      <c r="I8" s="1019"/>
      <c r="J8" s="1019"/>
      <c r="K8" s="1019"/>
      <c r="L8" s="1019"/>
      <c r="M8" s="1019"/>
      <c r="N8" s="1019"/>
      <c r="O8" s="1019"/>
      <c r="P8" s="1019"/>
      <c r="Q8" s="1019"/>
      <c r="R8" s="1019"/>
      <c r="S8" s="1019"/>
      <c r="T8" s="1020"/>
      <c r="U8" s="997"/>
      <c r="V8" s="998"/>
      <c r="W8" s="999"/>
    </row>
    <row r="9" spans="2:23" ht="14.4" customHeight="1" x14ac:dyDescent="0.3">
      <c r="B9" s="1003"/>
      <c r="C9" s="1004"/>
      <c r="D9" s="1005"/>
      <c r="E9" s="1012" t="s">
        <v>1506</v>
      </c>
      <c r="F9" s="1013"/>
      <c r="G9" s="1013"/>
      <c r="H9" s="1013"/>
      <c r="I9" s="1013"/>
      <c r="J9" s="1013"/>
      <c r="K9" s="1013"/>
      <c r="L9" s="1013"/>
      <c r="M9" s="1013"/>
      <c r="N9" s="1013"/>
      <c r="O9" s="1013"/>
      <c r="P9" s="1013"/>
      <c r="Q9" s="1013"/>
      <c r="R9" s="1013"/>
      <c r="S9" s="1013"/>
      <c r="T9" s="1014"/>
      <c r="U9" s="997"/>
      <c r="V9" s="998"/>
      <c r="W9" s="999"/>
    </row>
    <row r="10" spans="2:23" ht="14.4" customHeight="1" x14ac:dyDescent="0.3">
      <c r="B10" s="1003"/>
      <c r="C10" s="1004"/>
      <c r="D10" s="1005"/>
      <c r="E10" s="1012"/>
      <c r="F10" s="1013"/>
      <c r="G10" s="1013"/>
      <c r="H10" s="1013"/>
      <c r="I10" s="1013"/>
      <c r="J10" s="1013"/>
      <c r="K10" s="1013"/>
      <c r="L10" s="1013"/>
      <c r="M10" s="1013"/>
      <c r="N10" s="1013"/>
      <c r="O10" s="1013"/>
      <c r="P10" s="1013"/>
      <c r="Q10" s="1013"/>
      <c r="R10" s="1013"/>
      <c r="S10" s="1013"/>
      <c r="T10" s="1014"/>
      <c r="U10" s="997"/>
      <c r="V10" s="998"/>
      <c r="W10" s="999"/>
    </row>
    <row r="11" spans="2:23" ht="15" customHeight="1" thickBot="1" x14ac:dyDescent="0.35">
      <c r="B11" s="1006"/>
      <c r="C11" s="1007"/>
      <c r="D11" s="1008"/>
      <c r="E11" s="1015"/>
      <c r="F11" s="1016"/>
      <c r="G11" s="1016"/>
      <c r="H11" s="1016"/>
      <c r="I11" s="1016"/>
      <c r="J11" s="1016"/>
      <c r="K11" s="1016"/>
      <c r="L11" s="1016"/>
      <c r="M11" s="1016"/>
      <c r="N11" s="1016"/>
      <c r="O11" s="1016"/>
      <c r="P11" s="1016"/>
      <c r="Q11" s="1016"/>
      <c r="R11" s="1016"/>
      <c r="S11" s="1016"/>
      <c r="T11" s="1017"/>
      <c r="U11" s="1009"/>
      <c r="V11" s="1010"/>
      <c r="W11" s="1011"/>
    </row>
    <row r="12" spans="2:23" ht="15" thickBot="1" x14ac:dyDescent="0.35"/>
    <row r="13" spans="2:23" ht="72" customHeight="1" thickBot="1" x14ac:dyDescent="0.35">
      <c r="B13" s="670" t="s">
        <v>274</v>
      </c>
      <c r="C13" s="988" t="s">
        <v>281</v>
      </c>
      <c r="D13" s="989"/>
      <c r="E13" s="989"/>
      <c r="F13" s="989"/>
      <c r="G13" s="989"/>
      <c r="H13" s="989"/>
      <c r="I13" s="989"/>
      <c r="J13" s="989"/>
      <c r="K13" s="989"/>
      <c r="L13" s="989"/>
      <c r="M13" s="989"/>
      <c r="N13" s="989"/>
      <c r="O13" s="989"/>
      <c r="P13" s="989"/>
      <c r="Q13" s="989"/>
      <c r="R13" s="989"/>
      <c r="S13" s="989"/>
      <c r="T13" s="990"/>
      <c r="U13" s="985" t="s">
        <v>454</v>
      </c>
      <c r="V13" s="986"/>
      <c r="W13" s="987"/>
    </row>
    <row r="14" spans="2:23" ht="43.2" customHeight="1" thickBot="1" x14ac:dyDescent="0.35">
      <c r="B14" s="671" t="s">
        <v>275</v>
      </c>
      <c r="C14" s="979" t="s">
        <v>466</v>
      </c>
      <c r="D14" s="980"/>
      <c r="E14" s="980"/>
      <c r="F14" s="980"/>
      <c r="G14" s="980"/>
      <c r="H14" s="980"/>
      <c r="I14" s="980"/>
      <c r="J14" s="980"/>
      <c r="K14" s="980"/>
      <c r="L14" s="980"/>
      <c r="M14" s="981"/>
      <c r="N14" s="979" t="s">
        <v>392</v>
      </c>
      <c r="O14" s="980"/>
      <c r="P14" s="980"/>
      <c r="Q14" s="980"/>
      <c r="R14" s="980"/>
      <c r="S14" s="980"/>
      <c r="T14" s="981"/>
      <c r="U14" s="982" t="s">
        <v>455</v>
      </c>
      <c r="V14" s="983"/>
      <c r="W14" s="984"/>
    </row>
    <row r="15" spans="2:23" ht="81.599999999999994" customHeight="1" thickBot="1" x14ac:dyDescent="0.35">
      <c r="B15" s="666" t="s">
        <v>278</v>
      </c>
      <c r="C15" s="667" t="s">
        <v>467</v>
      </c>
      <c r="D15" s="668" t="s">
        <v>292</v>
      </c>
      <c r="E15" s="668" t="s">
        <v>296</v>
      </c>
      <c r="F15" s="668" t="s">
        <v>302</v>
      </c>
      <c r="G15" s="668" t="s">
        <v>308</v>
      </c>
      <c r="H15" s="668" t="s">
        <v>313</v>
      </c>
      <c r="I15" s="668" t="s">
        <v>315</v>
      </c>
      <c r="J15" s="668" t="s">
        <v>317</v>
      </c>
      <c r="K15" s="668" t="s">
        <v>360</v>
      </c>
      <c r="L15" s="668" t="s">
        <v>376</v>
      </c>
      <c r="M15" s="669" t="s">
        <v>386</v>
      </c>
      <c r="N15" s="667" t="s">
        <v>394</v>
      </c>
      <c r="O15" s="668" t="s">
        <v>409</v>
      </c>
      <c r="P15" s="668" t="s">
        <v>427</v>
      </c>
      <c r="Q15" s="668" t="s">
        <v>432</v>
      </c>
      <c r="R15" s="668" t="s">
        <v>447</v>
      </c>
      <c r="S15" s="668" t="s">
        <v>451</v>
      </c>
      <c r="T15" s="700" t="s">
        <v>453</v>
      </c>
      <c r="U15" s="667" t="s">
        <v>457</v>
      </c>
      <c r="V15" s="668" t="s">
        <v>461</v>
      </c>
      <c r="W15" s="669" t="s">
        <v>465</v>
      </c>
    </row>
    <row r="16" spans="2:23" ht="171.6" x14ac:dyDescent="0.3">
      <c r="B16" s="991" t="s">
        <v>279</v>
      </c>
      <c r="C16" s="662" t="s">
        <v>290</v>
      </c>
      <c r="D16" s="663" t="s">
        <v>293</v>
      </c>
      <c r="E16" s="663" t="s">
        <v>297</v>
      </c>
      <c r="F16" s="663" t="s">
        <v>303</v>
      </c>
      <c r="G16" s="663" t="s">
        <v>309</v>
      </c>
      <c r="H16" s="663" t="s">
        <v>314</v>
      </c>
      <c r="I16" s="663" t="s">
        <v>316</v>
      </c>
      <c r="J16" s="663" t="s">
        <v>318</v>
      </c>
      <c r="K16" s="663" t="s">
        <v>361</v>
      </c>
      <c r="L16" s="663" t="s">
        <v>377</v>
      </c>
      <c r="M16" s="664"/>
      <c r="N16" s="662" t="s">
        <v>395</v>
      </c>
      <c r="O16" s="663" t="s">
        <v>410</v>
      </c>
      <c r="P16" s="663" t="s">
        <v>428</v>
      </c>
      <c r="Q16" s="663" t="s">
        <v>433</v>
      </c>
      <c r="R16" s="663" t="s">
        <v>448</v>
      </c>
      <c r="S16" s="665"/>
      <c r="T16" s="696"/>
      <c r="U16" s="701" t="s">
        <v>458</v>
      </c>
      <c r="V16" s="702" t="s">
        <v>462</v>
      </c>
      <c r="W16" s="703"/>
    </row>
    <row r="17" spans="2:23" ht="93.6" x14ac:dyDescent="0.3">
      <c r="B17" s="992"/>
      <c r="C17" s="651" t="s">
        <v>291</v>
      </c>
      <c r="D17" s="652" t="s">
        <v>294</v>
      </c>
      <c r="E17" s="652" t="s">
        <v>298</v>
      </c>
      <c r="F17" s="652" t="s">
        <v>304</v>
      </c>
      <c r="G17" s="652" t="s">
        <v>310</v>
      </c>
      <c r="H17" s="655"/>
      <c r="I17" s="655"/>
      <c r="J17" s="652" t="s">
        <v>325</v>
      </c>
      <c r="K17" s="652" t="s">
        <v>365</v>
      </c>
      <c r="L17" s="652" t="s">
        <v>381</v>
      </c>
      <c r="M17" s="653"/>
      <c r="N17" s="651" t="s">
        <v>396</v>
      </c>
      <c r="O17" s="652" t="s">
        <v>417</v>
      </c>
      <c r="P17" s="652" t="s">
        <v>429</v>
      </c>
      <c r="Q17" s="652" t="s">
        <v>437</v>
      </c>
      <c r="R17" s="655"/>
      <c r="S17" s="655"/>
      <c r="T17" s="693"/>
      <c r="U17" s="697" t="s">
        <v>459</v>
      </c>
      <c r="V17" s="652" t="s">
        <v>463</v>
      </c>
      <c r="W17" s="688"/>
    </row>
    <row r="18" spans="2:23" ht="93.6" x14ac:dyDescent="0.3">
      <c r="B18" s="992"/>
      <c r="C18" s="656"/>
      <c r="D18" s="652" t="s">
        <v>295</v>
      </c>
      <c r="E18" s="652" t="s">
        <v>299</v>
      </c>
      <c r="F18" s="652" t="s">
        <v>305</v>
      </c>
      <c r="G18" s="652" t="s">
        <v>311</v>
      </c>
      <c r="H18" s="655"/>
      <c r="I18" s="655"/>
      <c r="J18" s="652" t="s">
        <v>331</v>
      </c>
      <c r="K18" s="652" t="s">
        <v>369</v>
      </c>
      <c r="L18" s="652" t="s">
        <v>384</v>
      </c>
      <c r="M18" s="653"/>
      <c r="N18" s="651" t="s">
        <v>397</v>
      </c>
      <c r="O18" s="655"/>
      <c r="P18" s="652" t="s">
        <v>430</v>
      </c>
      <c r="Q18" s="652" t="s">
        <v>442</v>
      </c>
      <c r="R18" s="655"/>
      <c r="S18" s="655"/>
      <c r="T18" s="693"/>
      <c r="U18" s="697" t="s">
        <v>460</v>
      </c>
      <c r="V18" s="652" t="s">
        <v>464</v>
      </c>
      <c r="W18" s="688"/>
    </row>
    <row r="19" spans="2:23" ht="93.6" x14ac:dyDescent="0.3">
      <c r="B19" s="992"/>
      <c r="C19" s="656"/>
      <c r="D19" s="655"/>
      <c r="E19" s="652" t="s">
        <v>300</v>
      </c>
      <c r="F19" s="652" t="s">
        <v>306</v>
      </c>
      <c r="G19" s="652" t="s">
        <v>312</v>
      </c>
      <c r="H19" s="655"/>
      <c r="I19" s="655"/>
      <c r="J19" s="652" t="s">
        <v>336</v>
      </c>
      <c r="K19" s="652" t="s">
        <v>372</v>
      </c>
      <c r="L19" s="652" t="s">
        <v>385</v>
      </c>
      <c r="M19" s="653"/>
      <c r="N19" s="651" t="s">
        <v>398</v>
      </c>
      <c r="O19" s="655"/>
      <c r="P19" s="652" t="s">
        <v>431</v>
      </c>
      <c r="Q19" s="655"/>
      <c r="R19" s="655"/>
      <c r="S19" s="655"/>
      <c r="T19" s="693"/>
      <c r="U19" s="698"/>
      <c r="V19" s="655"/>
      <c r="W19" s="688"/>
    </row>
    <row r="20" spans="2:23" ht="46.8" x14ac:dyDescent="0.3">
      <c r="B20" s="992"/>
      <c r="C20" s="656"/>
      <c r="D20" s="655"/>
      <c r="E20" s="652" t="s">
        <v>301</v>
      </c>
      <c r="F20" s="652" t="s">
        <v>307</v>
      </c>
      <c r="G20" s="655"/>
      <c r="H20" s="655"/>
      <c r="I20" s="655"/>
      <c r="J20" s="652" t="s">
        <v>341</v>
      </c>
      <c r="K20" s="655"/>
      <c r="L20" s="655"/>
      <c r="M20" s="653"/>
      <c r="N20" s="651" t="s">
        <v>399</v>
      </c>
      <c r="O20" s="655"/>
      <c r="P20" s="655"/>
      <c r="Q20" s="655"/>
      <c r="R20" s="655"/>
      <c r="S20" s="655"/>
      <c r="T20" s="693"/>
      <c r="U20" s="698"/>
      <c r="V20" s="655"/>
      <c r="W20" s="688"/>
    </row>
    <row r="21" spans="2:23" ht="62.4" x14ac:dyDescent="0.3">
      <c r="B21" s="992"/>
      <c r="C21" s="656"/>
      <c r="D21" s="655"/>
      <c r="E21" s="655"/>
      <c r="F21" s="655"/>
      <c r="G21" s="655"/>
      <c r="H21" s="655"/>
      <c r="I21" s="655"/>
      <c r="J21" s="652" t="s">
        <v>346</v>
      </c>
      <c r="K21" s="655"/>
      <c r="L21" s="655"/>
      <c r="M21" s="653"/>
      <c r="N21" s="651" t="s">
        <v>400</v>
      </c>
      <c r="O21" s="655"/>
      <c r="P21" s="655"/>
      <c r="Q21" s="655"/>
      <c r="R21" s="655"/>
      <c r="S21" s="655"/>
      <c r="T21" s="693"/>
      <c r="U21" s="698"/>
      <c r="V21" s="655"/>
      <c r="W21" s="688"/>
    </row>
    <row r="22" spans="2:23" ht="46.8" x14ac:dyDescent="0.3">
      <c r="B22" s="992"/>
      <c r="C22" s="656"/>
      <c r="D22" s="655"/>
      <c r="E22" s="655"/>
      <c r="F22" s="655"/>
      <c r="G22" s="655"/>
      <c r="H22" s="655"/>
      <c r="I22" s="655"/>
      <c r="J22" s="652" t="s">
        <v>351</v>
      </c>
      <c r="K22" s="655"/>
      <c r="L22" s="655"/>
      <c r="M22" s="653"/>
      <c r="N22" s="651" t="s">
        <v>401</v>
      </c>
      <c r="O22" s="655"/>
      <c r="P22" s="655"/>
      <c r="Q22" s="655"/>
      <c r="R22" s="655"/>
      <c r="S22" s="655"/>
      <c r="T22" s="693"/>
      <c r="U22" s="698"/>
      <c r="V22" s="655"/>
      <c r="W22" s="688"/>
    </row>
    <row r="23" spans="2:23" ht="46.8" x14ac:dyDescent="0.3">
      <c r="B23" s="992"/>
      <c r="C23" s="656"/>
      <c r="D23" s="655"/>
      <c r="E23" s="655"/>
      <c r="F23" s="655"/>
      <c r="G23" s="655"/>
      <c r="H23" s="655"/>
      <c r="I23" s="655"/>
      <c r="J23" s="652" t="s">
        <v>356</v>
      </c>
      <c r="K23" s="655"/>
      <c r="L23" s="655"/>
      <c r="M23" s="653"/>
      <c r="N23" s="651" t="s">
        <v>402</v>
      </c>
      <c r="O23" s="655"/>
      <c r="P23" s="655"/>
      <c r="Q23" s="655"/>
      <c r="R23" s="655"/>
      <c r="S23" s="655"/>
      <c r="T23" s="693"/>
      <c r="U23" s="698"/>
      <c r="V23" s="655"/>
      <c r="W23" s="688"/>
    </row>
    <row r="24" spans="2:23" ht="31.2" x14ac:dyDescent="0.3">
      <c r="B24" s="992"/>
      <c r="C24" s="656"/>
      <c r="D24" s="655"/>
      <c r="E24" s="655"/>
      <c r="F24" s="655"/>
      <c r="G24" s="655"/>
      <c r="H24" s="655"/>
      <c r="I24" s="655"/>
      <c r="J24" s="655"/>
      <c r="K24" s="655"/>
      <c r="L24" s="655"/>
      <c r="M24" s="653"/>
      <c r="N24" s="651" t="s">
        <v>403</v>
      </c>
      <c r="O24" s="655"/>
      <c r="P24" s="655"/>
      <c r="Q24" s="655"/>
      <c r="R24" s="655"/>
      <c r="S24" s="655"/>
      <c r="T24" s="693"/>
      <c r="U24" s="698"/>
      <c r="V24" s="655"/>
      <c r="W24" s="688"/>
    </row>
    <row r="25" spans="2:23" ht="46.8" x14ac:dyDescent="0.3">
      <c r="B25" s="992"/>
      <c r="C25" s="656"/>
      <c r="D25" s="655"/>
      <c r="E25" s="655"/>
      <c r="F25" s="655"/>
      <c r="G25" s="655"/>
      <c r="H25" s="655"/>
      <c r="I25" s="655"/>
      <c r="J25" s="655"/>
      <c r="K25" s="655"/>
      <c r="L25" s="655"/>
      <c r="M25" s="653"/>
      <c r="N25" s="651" t="s">
        <v>404</v>
      </c>
      <c r="O25" s="655"/>
      <c r="P25" s="655"/>
      <c r="Q25" s="655"/>
      <c r="R25" s="655"/>
      <c r="S25" s="655"/>
      <c r="T25" s="693"/>
      <c r="U25" s="698"/>
      <c r="V25" s="655"/>
      <c r="W25" s="688"/>
    </row>
    <row r="26" spans="2:23" ht="46.8" x14ac:dyDescent="0.3">
      <c r="B26" s="992"/>
      <c r="C26" s="656"/>
      <c r="D26" s="655"/>
      <c r="E26" s="655"/>
      <c r="F26" s="655"/>
      <c r="G26" s="655"/>
      <c r="H26" s="655"/>
      <c r="I26" s="655"/>
      <c r="J26" s="655"/>
      <c r="K26" s="655"/>
      <c r="L26" s="655"/>
      <c r="M26" s="653"/>
      <c r="N26" s="651" t="s">
        <v>405</v>
      </c>
      <c r="O26" s="655"/>
      <c r="P26" s="655"/>
      <c r="Q26" s="655"/>
      <c r="R26" s="655"/>
      <c r="S26" s="655"/>
      <c r="T26" s="693"/>
      <c r="U26" s="698"/>
      <c r="V26" s="655"/>
      <c r="W26" s="688"/>
    </row>
    <row r="27" spans="2:23" ht="31.2" x14ac:dyDescent="0.3">
      <c r="B27" s="992"/>
      <c r="C27" s="656"/>
      <c r="D27" s="655"/>
      <c r="E27" s="655"/>
      <c r="F27" s="655"/>
      <c r="G27" s="655"/>
      <c r="H27" s="655"/>
      <c r="I27" s="655"/>
      <c r="J27" s="655"/>
      <c r="K27" s="655"/>
      <c r="L27" s="655"/>
      <c r="M27" s="653"/>
      <c r="N27" s="651" t="s">
        <v>406</v>
      </c>
      <c r="O27" s="655"/>
      <c r="P27" s="655"/>
      <c r="Q27" s="655"/>
      <c r="R27" s="655"/>
      <c r="S27" s="655"/>
      <c r="T27" s="693"/>
      <c r="U27" s="698"/>
      <c r="V27" s="655"/>
      <c r="W27" s="688"/>
    </row>
    <row r="28" spans="2:23" ht="47.4" thickBot="1" x14ac:dyDescent="0.35">
      <c r="B28" s="993"/>
      <c r="C28" s="657"/>
      <c r="D28" s="658"/>
      <c r="E28" s="658"/>
      <c r="F28" s="658"/>
      <c r="G28" s="658"/>
      <c r="H28" s="658"/>
      <c r="I28" s="658"/>
      <c r="J28" s="658"/>
      <c r="K28" s="658"/>
      <c r="L28" s="658"/>
      <c r="M28" s="659"/>
      <c r="N28" s="660" t="s">
        <v>407</v>
      </c>
      <c r="O28" s="658"/>
      <c r="P28" s="658"/>
      <c r="Q28" s="658"/>
      <c r="R28" s="658"/>
      <c r="S28" s="658"/>
      <c r="T28" s="694"/>
      <c r="U28" s="699"/>
      <c r="V28" s="683"/>
      <c r="W28" s="689"/>
    </row>
    <row r="29" spans="2:23" ht="46.8" x14ac:dyDescent="0.3">
      <c r="B29" s="976" t="s">
        <v>280</v>
      </c>
      <c r="C29" s="695"/>
      <c r="D29" s="673"/>
      <c r="E29" s="673"/>
      <c r="F29" s="673"/>
      <c r="G29" s="673"/>
      <c r="H29" s="673"/>
      <c r="I29" s="673"/>
      <c r="J29" s="674" t="s">
        <v>319</v>
      </c>
      <c r="K29" s="674" t="s">
        <v>362</v>
      </c>
      <c r="L29" s="674" t="s">
        <v>378</v>
      </c>
      <c r="M29" s="687"/>
      <c r="N29" s="685"/>
      <c r="O29" s="674" t="s">
        <v>411</v>
      </c>
      <c r="P29" s="675"/>
      <c r="Q29" s="674" t="s">
        <v>434</v>
      </c>
      <c r="R29" s="676" t="s">
        <v>449</v>
      </c>
      <c r="S29" s="673"/>
      <c r="T29" s="690"/>
      <c r="U29" s="672"/>
      <c r="V29" s="673"/>
      <c r="W29" s="677"/>
    </row>
    <row r="30" spans="2:23" ht="46.8" x14ac:dyDescent="0.3">
      <c r="B30" s="977"/>
      <c r="C30" s="704"/>
      <c r="D30" s="661"/>
      <c r="E30" s="661"/>
      <c r="F30" s="661"/>
      <c r="G30" s="661"/>
      <c r="H30" s="661"/>
      <c r="I30" s="661"/>
      <c r="J30" s="650" t="s">
        <v>320</v>
      </c>
      <c r="K30" s="650" t="s">
        <v>363</v>
      </c>
      <c r="L30" s="650" t="s">
        <v>379</v>
      </c>
      <c r="M30" s="688"/>
      <c r="N30" s="654"/>
      <c r="O30" s="650" t="s">
        <v>413</v>
      </c>
      <c r="P30" s="655"/>
      <c r="Q30" s="650" t="s">
        <v>435</v>
      </c>
      <c r="R30" s="655"/>
      <c r="S30" s="661"/>
      <c r="T30" s="691"/>
      <c r="U30" s="678"/>
      <c r="V30" s="661"/>
      <c r="W30" s="679"/>
    </row>
    <row r="31" spans="2:23" ht="46.8" x14ac:dyDescent="0.3">
      <c r="B31" s="977"/>
      <c r="C31" s="704"/>
      <c r="D31" s="661"/>
      <c r="E31" s="661"/>
      <c r="F31" s="661"/>
      <c r="G31" s="661"/>
      <c r="H31" s="661"/>
      <c r="I31" s="661"/>
      <c r="J31" s="650" t="s">
        <v>321</v>
      </c>
      <c r="K31" s="650" t="s">
        <v>364</v>
      </c>
      <c r="L31" s="650" t="s">
        <v>380</v>
      </c>
      <c r="M31" s="688"/>
      <c r="N31" s="654"/>
      <c r="O31" s="650" t="s">
        <v>415</v>
      </c>
      <c r="P31" s="655"/>
      <c r="Q31" s="650" t="s">
        <v>436</v>
      </c>
      <c r="R31" s="655"/>
      <c r="S31" s="661"/>
      <c r="T31" s="691"/>
      <c r="U31" s="678"/>
      <c r="V31" s="661"/>
      <c r="W31" s="679"/>
    </row>
    <row r="32" spans="2:23" ht="46.8" x14ac:dyDescent="0.3">
      <c r="B32" s="977"/>
      <c r="C32" s="704"/>
      <c r="D32" s="661"/>
      <c r="E32" s="661"/>
      <c r="F32" s="661"/>
      <c r="G32" s="661"/>
      <c r="H32" s="661"/>
      <c r="I32" s="661"/>
      <c r="J32" s="650" t="s">
        <v>322</v>
      </c>
      <c r="K32" s="650" t="s">
        <v>366</v>
      </c>
      <c r="L32" s="650" t="s">
        <v>382</v>
      </c>
      <c r="M32" s="688"/>
      <c r="N32" s="654"/>
      <c r="O32" s="650" t="s">
        <v>416</v>
      </c>
      <c r="P32" s="655"/>
      <c r="Q32" s="650" t="s">
        <v>438</v>
      </c>
      <c r="R32" s="655"/>
      <c r="S32" s="661"/>
      <c r="T32" s="691"/>
      <c r="U32" s="678"/>
      <c r="V32" s="661"/>
      <c r="W32" s="679"/>
    </row>
    <row r="33" spans="2:23" ht="46.8" x14ac:dyDescent="0.3">
      <c r="B33" s="977"/>
      <c r="C33" s="704"/>
      <c r="D33" s="661"/>
      <c r="E33" s="661"/>
      <c r="F33" s="661"/>
      <c r="G33" s="661"/>
      <c r="H33" s="661"/>
      <c r="I33" s="661"/>
      <c r="J33" s="650" t="s">
        <v>323</v>
      </c>
      <c r="K33" s="650" t="s">
        <v>367</v>
      </c>
      <c r="L33" s="650" t="s">
        <v>383</v>
      </c>
      <c r="M33" s="688"/>
      <c r="N33" s="654"/>
      <c r="O33" s="650" t="s">
        <v>418</v>
      </c>
      <c r="P33" s="655"/>
      <c r="Q33" s="650" t="s">
        <v>439</v>
      </c>
      <c r="R33" s="655"/>
      <c r="S33" s="661"/>
      <c r="T33" s="691"/>
      <c r="U33" s="678"/>
      <c r="V33" s="661"/>
      <c r="W33" s="679"/>
    </row>
    <row r="34" spans="2:23" ht="46.8" x14ac:dyDescent="0.3">
      <c r="B34" s="977"/>
      <c r="C34" s="704"/>
      <c r="D34" s="661"/>
      <c r="E34" s="661"/>
      <c r="F34" s="661"/>
      <c r="G34" s="661"/>
      <c r="H34" s="661"/>
      <c r="I34" s="661"/>
      <c r="J34" s="650" t="s">
        <v>324</v>
      </c>
      <c r="K34" s="650" t="s">
        <v>368</v>
      </c>
      <c r="L34" s="655"/>
      <c r="M34" s="688"/>
      <c r="N34" s="654"/>
      <c r="O34" s="650" t="s">
        <v>419</v>
      </c>
      <c r="P34" s="655"/>
      <c r="Q34" s="650" t="s">
        <v>440</v>
      </c>
      <c r="R34" s="655"/>
      <c r="S34" s="661"/>
      <c r="T34" s="691"/>
      <c r="U34" s="678"/>
      <c r="V34" s="661"/>
      <c r="W34" s="679"/>
    </row>
    <row r="35" spans="2:23" ht="46.8" x14ac:dyDescent="0.3">
      <c r="B35" s="977"/>
      <c r="C35" s="704"/>
      <c r="D35" s="661"/>
      <c r="E35" s="661"/>
      <c r="F35" s="661"/>
      <c r="G35" s="661"/>
      <c r="H35" s="661"/>
      <c r="I35" s="661"/>
      <c r="J35" s="650" t="s">
        <v>326</v>
      </c>
      <c r="K35" s="650" t="s">
        <v>370</v>
      </c>
      <c r="L35" s="655"/>
      <c r="M35" s="688"/>
      <c r="N35" s="654"/>
      <c r="O35" s="650" t="s">
        <v>420</v>
      </c>
      <c r="P35" s="655"/>
      <c r="Q35" s="650" t="s">
        <v>441</v>
      </c>
      <c r="R35" s="655"/>
      <c r="S35" s="661"/>
      <c r="T35" s="691"/>
      <c r="U35" s="678"/>
      <c r="V35" s="661"/>
      <c r="W35" s="679"/>
    </row>
    <row r="36" spans="2:23" ht="46.8" x14ac:dyDescent="0.3">
      <c r="B36" s="977"/>
      <c r="C36" s="704"/>
      <c r="D36" s="661"/>
      <c r="E36" s="661"/>
      <c r="F36" s="661"/>
      <c r="G36" s="661"/>
      <c r="H36" s="661"/>
      <c r="I36" s="661"/>
      <c r="J36" s="650" t="s">
        <v>327</v>
      </c>
      <c r="K36" s="650" t="s">
        <v>371</v>
      </c>
      <c r="L36" s="655"/>
      <c r="M36" s="688"/>
      <c r="N36" s="654"/>
      <c r="O36" s="650" t="s">
        <v>421</v>
      </c>
      <c r="P36" s="655"/>
      <c r="Q36" s="650" t="s">
        <v>443</v>
      </c>
      <c r="R36" s="655"/>
      <c r="S36" s="661"/>
      <c r="T36" s="691"/>
      <c r="U36" s="678"/>
      <c r="V36" s="661"/>
      <c r="W36" s="679"/>
    </row>
    <row r="37" spans="2:23" ht="46.8" x14ac:dyDescent="0.3">
      <c r="B37" s="977"/>
      <c r="C37" s="704"/>
      <c r="D37" s="661"/>
      <c r="E37" s="661"/>
      <c r="F37" s="661"/>
      <c r="G37" s="661"/>
      <c r="H37" s="661"/>
      <c r="I37" s="661"/>
      <c r="J37" s="650" t="s">
        <v>328</v>
      </c>
      <c r="K37" s="650" t="s">
        <v>373</v>
      </c>
      <c r="L37" s="655"/>
      <c r="M37" s="688"/>
      <c r="N37" s="654"/>
      <c r="O37" s="650" t="s">
        <v>422</v>
      </c>
      <c r="P37" s="655"/>
      <c r="Q37" s="650" t="s">
        <v>444</v>
      </c>
      <c r="R37" s="655"/>
      <c r="S37" s="661"/>
      <c r="T37" s="691"/>
      <c r="U37" s="678"/>
      <c r="V37" s="661"/>
      <c r="W37" s="679"/>
    </row>
    <row r="38" spans="2:23" ht="31.2" x14ac:dyDescent="0.3">
      <c r="B38" s="977"/>
      <c r="C38" s="704"/>
      <c r="D38" s="661"/>
      <c r="E38" s="661"/>
      <c r="F38" s="661"/>
      <c r="G38" s="661"/>
      <c r="H38" s="661"/>
      <c r="I38" s="661"/>
      <c r="J38" s="650" t="s">
        <v>329</v>
      </c>
      <c r="K38" s="650" t="s">
        <v>374</v>
      </c>
      <c r="L38" s="655"/>
      <c r="M38" s="688"/>
      <c r="N38" s="654"/>
      <c r="O38" s="650" t="s">
        <v>423</v>
      </c>
      <c r="P38" s="655"/>
      <c r="Q38" s="650" t="s">
        <v>445</v>
      </c>
      <c r="R38" s="655"/>
      <c r="S38" s="661"/>
      <c r="T38" s="691"/>
      <c r="U38" s="678"/>
      <c r="V38" s="661"/>
      <c r="W38" s="679"/>
    </row>
    <row r="39" spans="2:23" ht="46.8" x14ac:dyDescent="0.3">
      <c r="B39" s="977"/>
      <c r="C39" s="704"/>
      <c r="D39" s="661"/>
      <c r="E39" s="661"/>
      <c r="F39" s="661"/>
      <c r="G39" s="661"/>
      <c r="H39" s="661"/>
      <c r="I39" s="661"/>
      <c r="J39" s="650" t="s">
        <v>330</v>
      </c>
      <c r="K39" s="650" t="s">
        <v>375</v>
      </c>
      <c r="L39" s="655"/>
      <c r="M39" s="688"/>
      <c r="N39" s="654"/>
      <c r="O39" s="650" t="s">
        <v>424</v>
      </c>
      <c r="P39" s="655"/>
      <c r="Q39" s="650" t="s">
        <v>446</v>
      </c>
      <c r="R39" s="655"/>
      <c r="S39" s="661"/>
      <c r="T39" s="691"/>
      <c r="U39" s="678"/>
      <c r="V39" s="661"/>
      <c r="W39" s="679"/>
    </row>
    <row r="40" spans="2:23" ht="46.8" x14ac:dyDescent="0.3">
      <c r="B40" s="977"/>
      <c r="C40" s="704"/>
      <c r="D40" s="661"/>
      <c r="E40" s="661"/>
      <c r="F40" s="661"/>
      <c r="G40" s="661"/>
      <c r="H40" s="661"/>
      <c r="I40" s="661"/>
      <c r="J40" s="650" t="s">
        <v>332</v>
      </c>
      <c r="K40" s="655"/>
      <c r="L40" s="655"/>
      <c r="M40" s="688"/>
      <c r="N40" s="654"/>
      <c r="O40" s="650" t="s">
        <v>425</v>
      </c>
      <c r="P40" s="655"/>
      <c r="Q40" s="650"/>
      <c r="R40" s="655"/>
      <c r="S40" s="661"/>
      <c r="T40" s="691"/>
      <c r="U40" s="678"/>
      <c r="V40" s="661"/>
      <c r="W40" s="679"/>
    </row>
    <row r="41" spans="2:23" ht="31.2" x14ac:dyDescent="0.3">
      <c r="B41" s="977"/>
      <c r="C41" s="704"/>
      <c r="D41" s="661"/>
      <c r="E41" s="661"/>
      <c r="F41" s="661"/>
      <c r="G41" s="661"/>
      <c r="H41" s="661"/>
      <c r="I41" s="661"/>
      <c r="J41" s="650" t="s">
        <v>333</v>
      </c>
      <c r="K41" s="655"/>
      <c r="L41" s="655"/>
      <c r="M41" s="688"/>
      <c r="N41" s="654"/>
      <c r="O41" s="655"/>
      <c r="P41" s="655"/>
      <c r="Q41" s="655"/>
      <c r="R41" s="655"/>
      <c r="S41" s="661"/>
      <c r="T41" s="691"/>
      <c r="U41" s="678"/>
      <c r="V41" s="661"/>
      <c r="W41" s="679"/>
    </row>
    <row r="42" spans="2:23" ht="31.2" x14ac:dyDescent="0.3">
      <c r="B42" s="977"/>
      <c r="C42" s="704"/>
      <c r="D42" s="661"/>
      <c r="E42" s="661"/>
      <c r="F42" s="661"/>
      <c r="G42" s="661"/>
      <c r="H42" s="661"/>
      <c r="I42" s="661"/>
      <c r="J42" s="650" t="s">
        <v>334</v>
      </c>
      <c r="K42" s="655"/>
      <c r="L42" s="655"/>
      <c r="M42" s="688"/>
      <c r="N42" s="654"/>
      <c r="O42" s="655"/>
      <c r="P42" s="655"/>
      <c r="Q42" s="655"/>
      <c r="R42" s="655"/>
      <c r="S42" s="661"/>
      <c r="T42" s="691"/>
      <c r="U42" s="678"/>
      <c r="V42" s="661"/>
      <c r="W42" s="679"/>
    </row>
    <row r="43" spans="2:23" ht="31.2" x14ac:dyDescent="0.3">
      <c r="B43" s="977"/>
      <c r="C43" s="704"/>
      <c r="D43" s="661"/>
      <c r="E43" s="661"/>
      <c r="F43" s="661"/>
      <c r="G43" s="661"/>
      <c r="H43" s="661"/>
      <c r="I43" s="661"/>
      <c r="J43" s="650" t="s">
        <v>335</v>
      </c>
      <c r="K43" s="655"/>
      <c r="L43" s="655"/>
      <c r="M43" s="688"/>
      <c r="N43" s="654"/>
      <c r="O43" s="655"/>
      <c r="P43" s="655"/>
      <c r="Q43" s="655"/>
      <c r="R43" s="655"/>
      <c r="S43" s="661"/>
      <c r="T43" s="691"/>
      <c r="U43" s="678"/>
      <c r="V43" s="661"/>
      <c r="W43" s="679"/>
    </row>
    <row r="44" spans="2:23" ht="31.2" x14ac:dyDescent="0.3">
      <c r="B44" s="977"/>
      <c r="C44" s="704"/>
      <c r="D44" s="661"/>
      <c r="E44" s="661"/>
      <c r="F44" s="661"/>
      <c r="G44" s="661"/>
      <c r="H44" s="661"/>
      <c r="I44" s="661"/>
      <c r="J44" s="650" t="s">
        <v>337</v>
      </c>
      <c r="K44" s="655"/>
      <c r="L44" s="655"/>
      <c r="M44" s="688"/>
      <c r="N44" s="654"/>
      <c r="O44" s="655"/>
      <c r="P44" s="655"/>
      <c r="Q44" s="655"/>
      <c r="R44" s="655"/>
      <c r="S44" s="661"/>
      <c r="T44" s="691"/>
      <c r="U44" s="678"/>
      <c r="V44" s="661"/>
      <c r="W44" s="679"/>
    </row>
    <row r="45" spans="2:23" ht="31.2" x14ac:dyDescent="0.3">
      <c r="B45" s="977"/>
      <c r="C45" s="704"/>
      <c r="D45" s="661"/>
      <c r="E45" s="661"/>
      <c r="F45" s="661"/>
      <c r="G45" s="661"/>
      <c r="H45" s="661"/>
      <c r="I45" s="661"/>
      <c r="J45" s="650" t="s">
        <v>338</v>
      </c>
      <c r="K45" s="655"/>
      <c r="L45" s="655"/>
      <c r="M45" s="688"/>
      <c r="N45" s="654"/>
      <c r="O45" s="655"/>
      <c r="P45" s="655"/>
      <c r="Q45" s="655"/>
      <c r="R45" s="655"/>
      <c r="S45" s="661"/>
      <c r="T45" s="691"/>
      <c r="U45" s="678"/>
      <c r="V45" s="661"/>
      <c r="W45" s="679"/>
    </row>
    <row r="46" spans="2:23" ht="15.6" x14ac:dyDescent="0.3">
      <c r="B46" s="977"/>
      <c r="C46" s="704"/>
      <c r="D46" s="661"/>
      <c r="E46" s="661"/>
      <c r="F46" s="661"/>
      <c r="G46" s="661"/>
      <c r="H46" s="661"/>
      <c r="I46" s="661"/>
      <c r="J46" s="650" t="s">
        <v>339</v>
      </c>
      <c r="K46" s="655"/>
      <c r="L46" s="655"/>
      <c r="M46" s="688"/>
      <c r="N46" s="654"/>
      <c r="O46" s="655"/>
      <c r="P46" s="655"/>
      <c r="Q46" s="655"/>
      <c r="R46" s="655"/>
      <c r="S46" s="661"/>
      <c r="T46" s="691"/>
      <c r="U46" s="678"/>
      <c r="V46" s="661"/>
      <c r="W46" s="679"/>
    </row>
    <row r="47" spans="2:23" ht="15.6" x14ac:dyDescent="0.3">
      <c r="B47" s="977"/>
      <c r="C47" s="704"/>
      <c r="D47" s="661"/>
      <c r="E47" s="661"/>
      <c r="F47" s="661"/>
      <c r="G47" s="661"/>
      <c r="H47" s="661"/>
      <c r="I47" s="661"/>
      <c r="J47" s="650" t="s">
        <v>340</v>
      </c>
      <c r="K47" s="655"/>
      <c r="L47" s="655"/>
      <c r="M47" s="688"/>
      <c r="N47" s="654"/>
      <c r="O47" s="655"/>
      <c r="P47" s="655"/>
      <c r="Q47" s="655"/>
      <c r="R47" s="655"/>
      <c r="S47" s="661"/>
      <c r="T47" s="691"/>
      <c r="U47" s="678"/>
      <c r="V47" s="661"/>
      <c r="W47" s="679"/>
    </row>
    <row r="48" spans="2:23" ht="31.2" x14ac:dyDescent="0.3">
      <c r="B48" s="977"/>
      <c r="C48" s="704"/>
      <c r="D48" s="661"/>
      <c r="E48" s="661"/>
      <c r="F48" s="661"/>
      <c r="G48" s="661"/>
      <c r="H48" s="661"/>
      <c r="I48" s="661"/>
      <c r="J48" s="650" t="s">
        <v>342</v>
      </c>
      <c r="K48" s="655"/>
      <c r="L48" s="655"/>
      <c r="M48" s="688"/>
      <c r="N48" s="654"/>
      <c r="O48" s="655"/>
      <c r="P48" s="655"/>
      <c r="Q48" s="655"/>
      <c r="R48" s="655"/>
      <c r="S48" s="661"/>
      <c r="T48" s="691"/>
      <c r="U48" s="678"/>
      <c r="V48" s="661"/>
      <c r="W48" s="679"/>
    </row>
    <row r="49" spans="2:23" ht="31.2" x14ac:dyDescent="0.3">
      <c r="B49" s="977"/>
      <c r="C49" s="704"/>
      <c r="D49" s="661"/>
      <c r="E49" s="661"/>
      <c r="F49" s="661"/>
      <c r="G49" s="661"/>
      <c r="H49" s="661"/>
      <c r="I49" s="661"/>
      <c r="J49" s="650" t="s">
        <v>343</v>
      </c>
      <c r="K49" s="655"/>
      <c r="L49" s="655"/>
      <c r="M49" s="688"/>
      <c r="N49" s="654"/>
      <c r="O49" s="655"/>
      <c r="P49" s="655"/>
      <c r="Q49" s="655"/>
      <c r="R49" s="655"/>
      <c r="S49" s="661"/>
      <c r="T49" s="691"/>
      <c r="U49" s="678"/>
      <c r="V49" s="661"/>
      <c r="W49" s="679"/>
    </row>
    <row r="50" spans="2:23" ht="31.2" x14ac:dyDescent="0.3">
      <c r="B50" s="977"/>
      <c r="C50" s="704"/>
      <c r="D50" s="661"/>
      <c r="E50" s="661"/>
      <c r="F50" s="661"/>
      <c r="G50" s="661"/>
      <c r="H50" s="661"/>
      <c r="I50" s="661"/>
      <c r="J50" s="650" t="s">
        <v>344</v>
      </c>
      <c r="K50" s="655"/>
      <c r="L50" s="655"/>
      <c r="M50" s="688"/>
      <c r="N50" s="654"/>
      <c r="O50" s="655"/>
      <c r="P50" s="655"/>
      <c r="Q50" s="655"/>
      <c r="R50" s="655"/>
      <c r="S50" s="661"/>
      <c r="T50" s="691"/>
      <c r="U50" s="678"/>
      <c r="V50" s="661"/>
      <c r="W50" s="679"/>
    </row>
    <row r="51" spans="2:23" ht="31.2" x14ac:dyDescent="0.3">
      <c r="B51" s="977"/>
      <c r="C51" s="704"/>
      <c r="D51" s="661"/>
      <c r="E51" s="661"/>
      <c r="F51" s="661"/>
      <c r="G51" s="661"/>
      <c r="H51" s="661"/>
      <c r="I51" s="661"/>
      <c r="J51" s="650" t="s">
        <v>345</v>
      </c>
      <c r="K51" s="655"/>
      <c r="L51" s="655"/>
      <c r="M51" s="688"/>
      <c r="N51" s="654"/>
      <c r="O51" s="655"/>
      <c r="P51" s="655"/>
      <c r="Q51" s="655"/>
      <c r="R51" s="655"/>
      <c r="S51" s="661"/>
      <c r="T51" s="691"/>
      <c r="U51" s="678"/>
      <c r="V51" s="661"/>
      <c r="W51" s="679"/>
    </row>
    <row r="52" spans="2:23" ht="31.2" x14ac:dyDescent="0.3">
      <c r="B52" s="977"/>
      <c r="C52" s="704"/>
      <c r="D52" s="661"/>
      <c r="E52" s="661"/>
      <c r="F52" s="661"/>
      <c r="G52" s="661"/>
      <c r="H52" s="661"/>
      <c r="I52" s="661"/>
      <c r="J52" s="650" t="s">
        <v>347</v>
      </c>
      <c r="K52" s="655"/>
      <c r="L52" s="655"/>
      <c r="M52" s="688"/>
      <c r="N52" s="654"/>
      <c r="O52" s="655"/>
      <c r="P52" s="655"/>
      <c r="Q52" s="655"/>
      <c r="R52" s="655"/>
      <c r="S52" s="661"/>
      <c r="T52" s="691"/>
      <c r="U52" s="678"/>
      <c r="V52" s="661"/>
      <c r="W52" s="679"/>
    </row>
    <row r="53" spans="2:23" ht="31.2" x14ac:dyDescent="0.3">
      <c r="B53" s="977"/>
      <c r="C53" s="704"/>
      <c r="D53" s="661"/>
      <c r="E53" s="661"/>
      <c r="F53" s="661"/>
      <c r="G53" s="661"/>
      <c r="H53" s="661"/>
      <c r="I53" s="661"/>
      <c r="J53" s="650" t="s">
        <v>348</v>
      </c>
      <c r="K53" s="655"/>
      <c r="L53" s="655"/>
      <c r="M53" s="688"/>
      <c r="N53" s="654"/>
      <c r="O53" s="655"/>
      <c r="P53" s="655"/>
      <c r="Q53" s="655"/>
      <c r="R53" s="655"/>
      <c r="S53" s="661"/>
      <c r="T53" s="691"/>
      <c r="U53" s="678"/>
      <c r="V53" s="661"/>
      <c r="W53" s="679"/>
    </row>
    <row r="54" spans="2:23" ht="31.2" x14ac:dyDescent="0.3">
      <c r="B54" s="977"/>
      <c r="C54" s="704"/>
      <c r="D54" s="661"/>
      <c r="E54" s="661"/>
      <c r="F54" s="661"/>
      <c r="G54" s="661"/>
      <c r="H54" s="661"/>
      <c r="I54" s="661"/>
      <c r="J54" s="650" t="s">
        <v>349</v>
      </c>
      <c r="K54" s="655"/>
      <c r="L54" s="655"/>
      <c r="M54" s="688"/>
      <c r="N54" s="654"/>
      <c r="O54" s="655"/>
      <c r="P54" s="655"/>
      <c r="Q54" s="655"/>
      <c r="R54" s="655"/>
      <c r="S54" s="661"/>
      <c r="T54" s="691"/>
      <c r="U54" s="678"/>
      <c r="V54" s="661"/>
      <c r="W54" s="679"/>
    </row>
    <row r="55" spans="2:23" ht="31.2" x14ac:dyDescent="0.3">
      <c r="B55" s="977"/>
      <c r="C55" s="704"/>
      <c r="D55" s="661"/>
      <c r="E55" s="661"/>
      <c r="F55" s="661"/>
      <c r="G55" s="661"/>
      <c r="H55" s="661"/>
      <c r="I55" s="661"/>
      <c r="J55" s="650" t="s">
        <v>350</v>
      </c>
      <c r="K55" s="655"/>
      <c r="L55" s="655"/>
      <c r="M55" s="688"/>
      <c r="N55" s="654"/>
      <c r="O55" s="655"/>
      <c r="P55" s="655"/>
      <c r="Q55" s="655"/>
      <c r="R55" s="655"/>
      <c r="S55" s="661"/>
      <c r="T55" s="691"/>
      <c r="U55" s="678"/>
      <c r="V55" s="661"/>
      <c r="W55" s="679"/>
    </row>
    <row r="56" spans="2:23" ht="31.2" x14ac:dyDescent="0.3">
      <c r="B56" s="977"/>
      <c r="C56" s="704"/>
      <c r="D56" s="661"/>
      <c r="E56" s="661"/>
      <c r="F56" s="661"/>
      <c r="G56" s="661"/>
      <c r="H56" s="661"/>
      <c r="I56" s="661"/>
      <c r="J56" s="650" t="s">
        <v>352</v>
      </c>
      <c r="K56" s="655"/>
      <c r="L56" s="655"/>
      <c r="M56" s="688"/>
      <c r="N56" s="654"/>
      <c r="O56" s="655"/>
      <c r="P56" s="655"/>
      <c r="Q56" s="655"/>
      <c r="R56" s="655"/>
      <c r="S56" s="661"/>
      <c r="T56" s="691"/>
      <c r="U56" s="678"/>
      <c r="V56" s="661"/>
      <c r="W56" s="679"/>
    </row>
    <row r="57" spans="2:23" ht="31.2" x14ac:dyDescent="0.3">
      <c r="B57" s="977"/>
      <c r="C57" s="704"/>
      <c r="D57" s="661"/>
      <c r="E57" s="661"/>
      <c r="F57" s="661"/>
      <c r="G57" s="661"/>
      <c r="H57" s="661"/>
      <c r="I57" s="661"/>
      <c r="J57" s="650" t="s">
        <v>353</v>
      </c>
      <c r="K57" s="655"/>
      <c r="L57" s="655"/>
      <c r="M57" s="688"/>
      <c r="N57" s="654"/>
      <c r="O57" s="655"/>
      <c r="P57" s="655"/>
      <c r="Q57" s="655"/>
      <c r="R57" s="655"/>
      <c r="S57" s="661"/>
      <c r="T57" s="691"/>
      <c r="U57" s="678"/>
      <c r="V57" s="661"/>
      <c r="W57" s="679"/>
    </row>
    <row r="58" spans="2:23" ht="31.2" x14ac:dyDescent="0.3">
      <c r="B58" s="977"/>
      <c r="C58" s="704"/>
      <c r="D58" s="661"/>
      <c r="E58" s="661"/>
      <c r="F58" s="661"/>
      <c r="G58" s="661"/>
      <c r="H58" s="661"/>
      <c r="I58" s="661"/>
      <c r="J58" s="650" t="s">
        <v>354</v>
      </c>
      <c r="K58" s="655"/>
      <c r="L58" s="655"/>
      <c r="M58" s="688"/>
      <c r="N58" s="654"/>
      <c r="O58" s="655"/>
      <c r="P58" s="655"/>
      <c r="Q58" s="655"/>
      <c r="R58" s="655"/>
      <c r="S58" s="661"/>
      <c r="T58" s="691"/>
      <c r="U58" s="678"/>
      <c r="V58" s="661"/>
      <c r="W58" s="679"/>
    </row>
    <row r="59" spans="2:23" ht="31.2" x14ac:dyDescent="0.3">
      <c r="B59" s="977"/>
      <c r="C59" s="704"/>
      <c r="D59" s="661"/>
      <c r="E59" s="661"/>
      <c r="F59" s="661"/>
      <c r="G59" s="661"/>
      <c r="H59" s="661"/>
      <c r="I59" s="661"/>
      <c r="J59" s="650" t="s">
        <v>355</v>
      </c>
      <c r="K59" s="655"/>
      <c r="L59" s="655"/>
      <c r="M59" s="688"/>
      <c r="N59" s="654"/>
      <c r="O59" s="655"/>
      <c r="P59" s="655"/>
      <c r="Q59" s="655"/>
      <c r="R59" s="655"/>
      <c r="S59" s="661"/>
      <c r="T59" s="691"/>
      <c r="U59" s="678"/>
      <c r="V59" s="661"/>
      <c r="W59" s="679"/>
    </row>
    <row r="60" spans="2:23" ht="31.2" x14ac:dyDescent="0.3">
      <c r="B60" s="977"/>
      <c r="C60" s="704"/>
      <c r="D60" s="661"/>
      <c r="E60" s="661"/>
      <c r="F60" s="661"/>
      <c r="G60" s="661"/>
      <c r="H60" s="661"/>
      <c r="I60" s="661"/>
      <c r="J60" s="650" t="s">
        <v>357</v>
      </c>
      <c r="K60" s="655"/>
      <c r="L60" s="655"/>
      <c r="M60" s="688"/>
      <c r="N60" s="654"/>
      <c r="O60" s="655"/>
      <c r="P60" s="655"/>
      <c r="Q60" s="655"/>
      <c r="R60" s="655"/>
      <c r="S60" s="661"/>
      <c r="T60" s="691"/>
      <c r="U60" s="678"/>
      <c r="V60" s="661"/>
      <c r="W60" s="679"/>
    </row>
    <row r="61" spans="2:23" ht="31.2" x14ac:dyDescent="0.3">
      <c r="B61" s="977"/>
      <c r="C61" s="704"/>
      <c r="D61" s="661"/>
      <c r="E61" s="661"/>
      <c r="F61" s="661"/>
      <c r="G61" s="661"/>
      <c r="H61" s="661"/>
      <c r="I61" s="661"/>
      <c r="J61" s="650" t="s">
        <v>358</v>
      </c>
      <c r="K61" s="655"/>
      <c r="L61" s="655"/>
      <c r="M61" s="688"/>
      <c r="N61" s="654"/>
      <c r="O61" s="655"/>
      <c r="P61" s="655"/>
      <c r="Q61" s="655"/>
      <c r="R61" s="655"/>
      <c r="S61" s="661"/>
      <c r="T61" s="691"/>
      <c r="U61" s="678"/>
      <c r="V61" s="661"/>
      <c r="W61" s="679"/>
    </row>
    <row r="62" spans="2:23" ht="31.8" thickBot="1" x14ac:dyDescent="0.35">
      <c r="B62" s="978"/>
      <c r="C62" s="705"/>
      <c r="D62" s="681"/>
      <c r="E62" s="681"/>
      <c r="F62" s="681"/>
      <c r="G62" s="681"/>
      <c r="H62" s="681"/>
      <c r="I62" s="681"/>
      <c r="J62" s="682" t="s">
        <v>359</v>
      </c>
      <c r="K62" s="683"/>
      <c r="L62" s="683"/>
      <c r="M62" s="689"/>
      <c r="N62" s="686"/>
      <c r="O62" s="683"/>
      <c r="P62" s="683"/>
      <c r="Q62" s="683"/>
      <c r="R62" s="683"/>
      <c r="S62" s="681"/>
      <c r="T62" s="692"/>
      <c r="U62" s="680"/>
      <c r="V62" s="681"/>
      <c r="W62" s="684"/>
    </row>
  </sheetData>
  <mergeCells count="12">
    <mergeCell ref="E2:T5"/>
    <mergeCell ref="B2:D11"/>
    <mergeCell ref="U2:W11"/>
    <mergeCell ref="E9:T11"/>
    <mergeCell ref="E6:T8"/>
    <mergeCell ref="B29:B62"/>
    <mergeCell ref="C14:M14"/>
    <mergeCell ref="N14:T14"/>
    <mergeCell ref="U14:W14"/>
    <mergeCell ref="U13:W13"/>
    <mergeCell ref="C13:T13"/>
    <mergeCell ref="B16:B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DAD1-8922-4890-88ED-CC3EC7B43C09}">
  <dimension ref="B1:H132"/>
  <sheetViews>
    <sheetView workbookViewId="0"/>
    <sheetView workbookViewId="1"/>
  </sheetViews>
  <sheetFormatPr baseColWidth="10" defaultColWidth="11.44140625" defaultRowHeight="14.4" x14ac:dyDescent="0.3"/>
  <cols>
    <col min="2" max="4" width="25.88671875" customWidth="1"/>
    <col min="5" max="5" width="25.88671875" hidden="1" customWidth="1"/>
    <col min="6" max="6" width="68.33203125" customWidth="1"/>
    <col min="7" max="7" width="71.88671875" style="1" customWidth="1"/>
    <col min="8" max="8" width="58.5546875" bestFit="1" customWidth="1"/>
  </cols>
  <sheetData>
    <row r="1" spans="2:8" ht="15" thickBot="1" x14ac:dyDescent="0.35"/>
    <row r="2" spans="2:8" ht="63.6" thickBot="1" x14ac:dyDescent="0.35">
      <c r="B2" s="8" t="s">
        <v>274</v>
      </c>
      <c r="C2" s="9" t="s">
        <v>275</v>
      </c>
      <c r="D2" s="9" t="s">
        <v>276</v>
      </c>
      <c r="E2" s="122" t="s">
        <v>277</v>
      </c>
      <c r="F2" s="122" t="s">
        <v>278</v>
      </c>
      <c r="G2" s="122" t="s">
        <v>279</v>
      </c>
      <c r="H2" s="122" t="s">
        <v>280</v>
      </c>
    </row>
    <row r="3" spans="2:8" ht="74.25" customHeight="1" thickBot="1" x14ac:dyDescent="0.35">
      <c r="B3" s="1067" t="s">
        <v>281</v>
      </c>
      <c r="C3" s="1073" t="s">
        <v>282</v>
      </c>
      <c r="D3" s="10" t="s">
        <v>283</v>
      </c>
      <c r="E3" s="1065" t="s">
        <v>284</v>
      </c>
      <c r="F3" s="1066"/>
      <c r="G3" s="1066"/>
      <c r="H3" s="1066"/>
    </row>
    <row r="4" spans="2:8" ht="72" customHeight="1" thickBot="1" x14ac:dyDescent="0.35">
      <c r="B4" s="1068"/>
      <c r="C4" s="1074"/>
      <c r="D4" s="11" t="s">
        <v>285</v>
      </c>
      <c r="E4" s="1065" t="s">
        <v>284</v>
      </c>
      <c r="F4" s="1066"/>
      <c r="G4" s="1066"/>
      <c r="H4" s="1066"/>
    </row>
    <row r="5" spans="2:8" ht="88.5" customHeight="1" thickBot="1" x14ac:dyDescent="0.35">
      <c r="B5" s="1068"/>
      <c r="C5" s="1074"/>
      <c r="D5" s="11" t="s">
        <v>286</v>
      </c>
      <c r="E5" s="1065" t="s">
        <v>284</v>
      </c>
      <c r="F5" s="1066"/>
      <c r="G5" s="1066"/>
      <c r="H5" s="1066"/>
    </row>
    <row r="6" spans="2:8" ht="43.5" customHeight="1" x14ac:dyDescent="0.3">
      <c r="B6" s="1068"/>
      <c r="C6" s="1074"/>
      <c r="D6" s="1051" t="s">
        <v>287</v>
      </c>
      <c r="E6" s="1058" t="s">
        <v>288</v>
      </c>
      <c r="F6" s="1061" t="s">
        <v>289</v>
      </c>
      <c r="G6" s="116" t="s">
        <v>290</v>
      </c>
      <c r="H6" s="119"/>
    </row>
    <row r="7" spans="2:8" ht="15" thickBot="1" x14ac:dyDescent="0.35">
      <c r="B7" s="1068"/>
      <c r="C7" s="1074"/>
      <c r="D7" s="1052"/>
      <c r="E7" s="1059"/>
      <c r="F7" s="1062"/>
      <c r="G7" s="26" t="s">
        <v>291</v>
      </c>
      <c r="H7" s="104"/>
    </row>
    <row r="8" spans="2:8" ht="43.2" x14ac:dyDescent="0.3">
      <c r="B8" s="1068"/>
      <c r="C8" s="1074"/>
      <c r="D8" s="1052"/>
      <c r="E8" s="1059"/>
      <c r="F8" s="1055" t="s">
        <v>292</v>
      </c>
      <c r="G8" s="93" t="s">
        <v>293</v>
      </c>
      <c r="H8" s="104"/>
    </row>
    <row r="9" spans="2:8" ht="28.8" x14ac:dyDescent="0.3">
      <c r="B9" s="1068"/>
      <c r="C9" s="1074"/>
      <c r="D9" s="1052"/>
      <c r="E9" s="1059"/>
      <c r="F9" s="1056"/>
      <c r="G9" s="24" t="s">
        <v>294</v>
      </c>
      <c r="H9" s="104"/>
    </row>
    <row r="10" spans="2:8" ht="29.4" thickBot="1" x14ac:dyDescent="0.35">
      <c r="B10" s="1068"/>
      <c r="C10" s="1074"/>
      <c r="D10" s="1052"/>
      <c r="E10" s="1059"/>
      <c r="F10" s="1062"/>
      <c r="G10" s="26" t="s">
        <v>295</v>
      </c>
      <c r="H10" s="104"/>
    </row>
    <row r="11" spans="2:8" x14ac:dyDescent="0.3">
      <c r="B11" s="1068"/>
      <c r="C11" s="1074"/>
      <c r="D11" s="1052"/>
      <c r="E11" s="1059"/>
      <c r="F11" s="1055" t="s">
        <v>296</v>
      </c>
      <c r="G11" s="93" t="s">
        <v>297</v>
      </c>
      <c r="H11" s="104"/>
    </row>
    <row r="12" spans="2:8" ht="21" customHeight="1" x14ac:dyDescent="0.3">
      <c r="B12" s="1068"/>
      <c r="C12" s="1074"/>
      <c r="D12" s="1052"/>
      <c r="E12" s="1059"/>
      <c r="F12" s="1056"/>
      <c r="G12" s="24" t="s">
        <v>298</v>
      </c>
      <c r="H12" s="104"/>
    </row>
    <row r="13" spans="2:8" ht="28.8" x14ac:dyDescent="0.3">
      <c r="B13" s="1068"/>
      <c r="C13" s="1074"/>
      <c r="D13" s="1052"/>
      <c r="E13" s="1059"/>
      <c r="F13" s="1056"/>
      <c r="G13" s="24" t="s">
        <v>299</v>
      </c>
      <c r="H13" s="104"/>
    </row>
    <row r="14" spans="2:8" ht="39" customHeight="1" x14ac:dyDescent="0.3">
      <c r="B14" s="1068"/>
      <c r="C14" s="1074"/>
      <c r="D14" s="1052"/>
      <c r="E14" s="1059"/>
      <c r="F14" s="1056"/>
      <c r="G14" s="24" t="s">
        <v>300</v>
      </c>
      <c r="H14" s="104"/>
    </row>
    <row r="15" spans="2:8" ht="21" customHeight="1" thickBot="1" x14ac:dyDescent="0.35">
      <c r="B15" s="1068"/>
      <c r="C15" s="1074"/>
      <c r="D15" s="1052"/>
      <c r="E15" s="1059"/>
      <c r="F15" s="1057"/>
      <c r="G15" s="106" t="s">
        <v>301</v>
      </c>
      <c r="H15" s="104"/>
    </row>
    <row r="16" spans="2:8" x14ac:dyDescent="0.3">
      <c r="B16" s="1068"/>
      <c r="C16" s="1074"/>
      <c r="D16" s="1052"/>
      <c r="E16" s="1059"/>
      <c r="F16" s="1055" t="s">
        <v>302</v>
      </c>
      <c r="G16" s="93" t="s">
        <v>303</v>
      </c>
      <c r="H16" s="104"/>
    </row>
    <row r="17" spans="2:8" x14ac:dyDescent="0.3">
      <c r="B17" s="1068"/>
      <c r="C17" s="1074"/>
      <c r="D17" s="1052"/>
      <c r="E17" s="1059"/>
      <c r="F17" s="1056"/>
      <c r="G17" s="24" t="s">
        <v>304</v>
      </c>
      <c r="H17" s="104"/>
    </row>
    <row r="18" spans="2:8" x14ac:dyDescent="0.3">
      <c r="B18" s="1068"/>
      <c r="C18" s="1074"/>
      <c r="D18" s="1052"/>
      <c r="E18" s="1059"/>
      <c r="F18" s="1056"/>
      <c r="G18" s="24" t="s">
        <v>305</v>
      </c>
      <c r="H18" s="104"/>
    </row>
    <row r="19" spans="2:8" ht="28.8" x14ac:dyDescent="0.3">
      <c r="B19" s="1068"/>
      <c r="C19" s="1074"/>
      <c r="D19" s="1052"/>
      <c r="E19" s="1059"/>
      <c r="F19" s="1056"/>
      <c r="G19" s="24" t="s">
        <v>306</v>
      </c>
      <c r="H19" s="104"/>
    </row>
    <row r="20" spans="2:8" ht="15" thickBot="1" x14ac:dyDescent="0.35">
      <c r="B20" s="1068"/>
      <c r="C20" s="1074"/>
      <c r="D20" s="1052"/>
      <c r="E20" s="1059"/>
      <c r="F20" s="1062"/>
      <c r="G20" s="26" t="s">
        <v>307</v>
      </c>
      <c r="H20" s="104"/>
    </row>
    <row r="21" spans="2:8" ht="28.8" x14ac:dyDescent="0.3">
      <c r="B21" s="1068"/>
      <c r="C21" s="1074"/>
      <c r="D21" s="1052"/>
      <c r="E21" s="1059"/>
      <c r="F21" s="1055" t="s">
        <v>308</v>
      </c>
      <c r="G21" s="93" t="s">
        <v>309</v>
      </c>
      <c r="H21" s="104"/>
    </row>
    <row r="22" spans="2:8" x14ac:dyDescent="0.3">
      <c r="B22" s="1068"/>
      <c r="C22" s="1074"/>
      <c r="D22" s="1052"/>
      <c r="E22" s="1059"/>
      <c r="F22" s="1056"/>
      <c r="G22" s="24" t="s">
        <v>310</v>
      </c>
      <c r="H22" s="104"/>
    </row>
    <row r="23" spans="2:8" x14ac:dyDescent="0.3">
      <c r="B23" s="1068"/>
      <c r="C23" s="1074"/>
      <c r="D23" s="1052"/>
      <c r="E23" s="1059"/>
      <c r="F23" s="1056"/>
      <c r="G23" s="24" t="s">
        <v>311</v>
      </c>
      <c r="H23" s="104"/>
    </row>
    <row r="24" spans="2:8" ht="15" thickBot="1" x14ac:dyDescent="0.35">
      <c r="B24" s="1068"/>
      <c r="C24" s="1074"/>
      <c r="D24" s="1052"/>
      <c r="E24" s="1059"/>
      <c r="F24" s="1062"/>
      <c r="G24" s="26" t="s">
        <v>312</v>
      </c>
      <c r="H24" s="104"/>
    </row>
    <row r="25" spans="2:8" ht="58.2" thickBot="1" x14ac:dyDescent="0.35">
      <c r="B25" s="1068"/>
      <c r="C25" s="1074"/>
      <c r="D25" s="1052"/>
      <c r="E25" s="1059"/>
      <c r="F25" s="107" t="s">
        <v>313</v>
      </c>
      <c r="G25" s="108" t="s">
        <v>314</v>
      </c>
      <c r="H25" s="104"/>
    </row>
    <row r="26" spans="2:8" ht="58.2" thickBot="1" x14ac:dyDescent="0.35">
      <c r="B26" s="1068"/>
      <c r="C26" s="1074"/>
      <c r="D26" s="1052"/>
      <c r="E26" s="1059"/>
      <c r="F26" s="107" t="s">
        <v>315</v>
      </c>
      <c r="G26" s="109" t="s">
        <v>316</v>
      </c>
      <c r="H26" s="105"/>
    </row>
    <row r="27" spans="2:8" ht="41.25" customHeight="1" x14ac:dyDescent="0.3">
      <c r="B27" s="1068"/>
      <c r="C27" s="1074"/>
      <c r="D27" s="1052"/>
      <c r="E27" s="1059"/>
      <c r="F27" s="1048" t="s">
        <v>317</v>
      </c>
      <c r="G27" s="1030" t="s">
        <v>318</v>
      </c>
      <c r="H27" s="95" t="s">
        <v>319</v>
      </c>
    </row>
    <row r="28" spans="2:8" ht="97.5" customHeight="1" x14ac:dyDescent="0.3">
      <c r="B28" s="1068"/>
      <c r="C28" s="1074"/>
      <c r="D28" s="1052"/>
      <c r="E28" s="1059"/>
      <c r="F28" s="1049"/>
      <c r="G28" s="1031"/>
      <c r="H28" s="96" t="s">
        <v>320</v>
      </c>
    </row>
    <row r="29" spans="2:8" ht="14.4" customHeight="1" x14ac:dyDescent="0.3">
      <c r="B29" s="1068"/>
      <c r="C29" s="1074"/>
      <c r="D29" s="1052"/>
      <c r="E29" s="1059"/>
      <c r="F29" s="1049"/>
      <c r="G29" s="1031"/>
      <c r="H29" s="96" t="s">
        <v>321</v>
      </c>
    </row>
    <row r="30" spans="2:8" ht="14.4" customHeight="1" x14ac:dyDescent="0.3">
      <c r="B30" s="1068"/>
      <c r="C30" s="1074"/>
      <c r="D30" s="1052"/>
      <c r="E30" s="1059"/>
      <c r="F30" s="1049"/>
      <c r="G30" s="1031"/>
      <c r="H30" s="96" t="s">
        <v>322</v>
      </c>
    </row>
    <row r="31" spans="2:8" ht="14.4" customHeight="1" x14ac:dyDescent="0.3">
      <c r="B31" s="1068"/>
      <c r="C31" s="1074"/>
      <c r="D31" s="1052"/>
      <c r="E31" s="1059"/>
      <c r="F31" s="1049"/>
      <c r="G31" s="1031"/>
      <c r="H31" s="96" t="s">
        <v>323</v>
      </c>
    </row>
    <row r="32" spans="2:8" ht="14.4" customHeight="1" thickBot="1" x14ac:dyDescent="0.35">
      <c r="B32" s="1068"/>
      <c r="C32" s="1074"/>
      <c r="D32" s="1052"/>
      <c r="E32" s="1059"/>
      <c r="F32" s="1049"/>
      <c r="G32" s="1032"/>
      <c r="H32" s="97" t="s">
        <v>324</v>
      </c>
    </row>
    <row r="33" spans="2:8" ht="14.4" customHeight="1" x14ac:dyDescent="0.3">
      <c r="B33" s="1068"/>
      <c r="C33" s="1074"/>
      <c r="D33" s="1052"/>
      <c r="E33" s="1059"/>
      <c r="F33" s="1049"/>
      <c r="G33" s="1039" t="s">
        <v>325</v>
      </c>
      <c r="H33" s="95" t="s">
        <v>326</v>
      </c>
    </row>
    <row r="34" spans="2:8" ht="35.25" customHeight="1" x14ac:dyDescent="0.3">
      <c r="B34" s="1068"/>
      <c r="C34" s="1074"/>
      <c r="D34" s="1052"/>
      <c r="E34" s="1059"/>
      <c r="F34" s="1049"/>
      <c r="G34" s="1031"/>
      <c r="H34" s="96" t="s">
        <v>327</v>
      </c>
    </row>
    <row r="35" spans="2:8" ht="14.4" customHeight="1" x14ac:dyDescent="0.3">
      <c r="B35" s="1068"/>
      <c r="C35" s="1074"/>
      <c r="D35" s="1052"/>
      <c r="E35" s="1059"/>
      <c r="F35" s="1049"/>
      <c r="G35" s="1031"/>
      <c r="H35" s="96" t="s">
        <v>328</v>
      </c>
    </row>
    <row r="36" spans="2:8" ht="14.4" customHeight="1" x14ac:dyDescent="0.3">
      <c r="B36" s="1068"/>
      <c r="C36" s="1074"/>
      <c r="D36" s="1052"/>
      <c r="E36" s="1059"/>
      <c r="F36" s="1049"/>
      <c r="G36" s="1031"/>
      <c r="H36" s="96" t="s">
        <v>329</v>
      </c>
    </row>
    <row r="37" spans="2:8" ht="36.75" customHeight="1" thickBot="1" x14ac:dyDescent="0.35">
      <c r="B37" s="1068"/>
      <c r="C37" s="1074"/>
      <c r="D37" s="1052"/>
      <c r="E37" s="1059"/>
      <c r="F37" s="1049"/>
      <c r="G37" s="1032"/>
      <c r="H37" s="97" t="s">
        <v>330</v>
      </c>
    </row>
    <row r="38" spans="2:8" ht="28.65" customHeight="1" x14ac:dyDescent="0.3">
      <c r="B38" s="1068"/>
      <c r="C38" s="1074"/>
      <c r="D38" s="1052"/>
      <c r="E38" s="1059"/>
      <c r="F38" s="1049"/>
      <c r="G38" s="1039" t="s">
        <v>331</v>
      </c>
      <c r="H38" s="98" t="s">
        <v>332</v>
      </c>
    </row>
    <row r="39" spans="2:8" x14ac:dyDescent="0.3">
      <c r="B39" s="1068"/>
      <c r="C39" s="1074"/>
      <c r="D39" s="1052"/>
      <c r="E39" s="1059"/>
      <c r="F39" s="1049"/>
      <c r="G39" s="1031"/>
      <c r="H39" s="25" t="s">
        <v>333</v>
      </c>
    </row>
    <row r="40" spans="2:8" x14ac:dyDescent="0.3">
      <c r="B40" s="1068"/>
      <c r="C40" s="1074"/>
      <c r="D40" s="1052"/>
      <c r="E40" s="1059"/>
      <c r="F40" s="1049"/>
      <c r="G40" s="1031"/>
      <c r="H40" s="25" t="s">
        <v>334</v>
      </c>
    </row>
    <row r="41" spans="2:8" ht="29.4" thickBot="1" x14ac:dyDescent="0.35">
      <c r="B41" s="1068"/>
      <c r="C41" s="1074"/>
      <c r="D41" s="1052"/>
      <c r="E41" s="1059"/>
      <c r="F41" s="1049"/>
      <c r="G41" s="1032"/>
      <c r="H41" s="99" t="s">
        <v>335</v>
      </c>
    </row>
    <row r="42" spans="2:8" ht="28.8" x14ac:dyDescent="0.3">
      <c r="B42" s="1068"/>
      <c r="C42" s="1074"/>
      <c r="D42" s="1052"/>
      <c r="E42" s="1059"/>
      <c r="F42" s="1049"/>
      <c r="G42" s="1039" t="s">
        <v>336</v>
      </c>
      <c r="H42" s="95" t="s">
        <v>337</v>
      </c>
    </row>
    <row r="43" spans="2:8" x14ac:dyDescent="0.3">
      <c r="B43" s="1068"/>
      <c r="C43" s="1074"/>
      <c r="D43" s="1052"/>
      <c r="E43" s="1059"/>
      <c r="F43" s="1049"/>
      <c r="G43" s="1031"/>
      <c r="H43" s="96" t="s">
        <v>338</v>
      </c>
    </row>
    <row r="44" spans="2:8" x14ac:dyDescent="0.3">
      <c r="B44" s="1068"/>
      <c r="C44" s="1074"/>
      <c r="D44" s="1052"/>
      <c r="E44" s="1059"/>
      <c r="F44" s="1049"/>
      <c r="G44" s="1031"/>
      <c r="H44" s="96" t="s">
        <v>339</v>
      </c>
    </row>
    <row r="45" spans="2:8" ht="15" thickBot="1" x14ac:dyDescent="0.35">
      <c r="B45" s="1068"/>
      <c r="C45" s="1074"/>
      <c r="D45" s="1052"/>
      <c r="E45" s="1059"/>
      <c r="F45" s="1049"/>
      <c r="G45" s="1032"/>
      <c r="H45" s="97" t="s">
        <v>340</v>
      </c>
    </row>
    <row r="46" spans="2:8" ht="28.8" x14ac:dyDescent="0.3">
      <c r="B46" s="1068"/>
      <c r="C46" s="1074"/>
      <c r="D46" s="1052"/>
      <c r="E46" s="1059"/>
      <c r="F46" s="1049"/>
      <c r="G46" s="1039" t="s">
        <v>341</v>
      </c>
      <c r="H46" s="95" t="s">
        <v>342</v>
      </c>
    </row>
    <row r="47" spans="2:8" x14ac:dyDescent="0.3">
      <c r="B47" s="1068"/>
      <c r="C47" s="1074"/>
      <c r="D47" s="1052"/>
      <c r="E47" s="1059"/>
      <c r="F47" s="1049"/>
      <c r="G47" s="1031"/>
      <c r="H47" s="96" t="s">
        <v>343</v>
      </c>
    </row>
    <row r="48" spans="2:8" x14ac:dyDescent="0.3">
      <c r="B48" s="1068"/>
      <c r="C48" s="1074"/>
      <c r="D48" s="1052"/>
      <c r="E48" s="1059"/>
      <c r="F48" s="1049"/>
      <c r="G48" s="1031"/>
      <c r="H48" s="96" t="s">
        <v>344</v>
      </c>
    </row>
    <row r="49" spans="2:8" ht="29.4" thickBot="1" x14ac:dyDescent="0.35">
      <c r="B49" s="1068"/>
      <c r="C49" s="1074"/>
      <c r="D49" s="1052"/>
      <c r="E49" s="1059"/>
      <c r="F49" s="1049"/>
      <c r="G49" s="1032"/>
      <c r="H49" s="97" t="s">
        <v>345</v>
      </c>
    </row>
    <row r="50" spans="2:8" ht="28.65" customHeight="1" x14ac:dyDescent="0.3">
      <c r="B50" s="1068"/>
      <c r="C50" s="1074"/>
      <c r="D50" s="1052"/>
      <c r="E50" s="1059"/>
      <c r="F50" s="1049"/>
      <c r="G50" s="1039" t="s">
        <v>346</v>
      </c>
      <c r="H50" s="98" t="s">
        <v>347</v>
      </c>
    </row>
    <row r="51" spans="2:8" ht="28.8" x14ac:dyDescent="0.3">
      <c r="B51" s="1068"/>
      <c r="C51" s="1074"/>
      <c r="D51" s="1052"/>
      <c r="E51" s="1059"/>
      <c r="F51" s="1049"/>
      <c r="G51" s="1031"/>
      <c r="H51" s="25" t="s">
        <v>348</v>
      </c>
    </row>
    <row r="52" spans="2:8" x14ac:dyDescent="0.3">
      <c r="B52" s="1068"/>
      <c r="C52" s="1074"/>
      <c r="D52" s="1052"/>
      <c r="E52" s="1059"/>
      <c r="F52" s="1049"/>
      <c r="G52" s="1031"/>
      <c r="H52" s="25" t="s">
        <v>349</v>
      </c>
    </row>
    <row r="53" spans="2:8" ht="29.4" thickBot="1" x14ac:dyDescent="0.35">
      <c r="B53" s="1068"/>
      <c r="C53" s="1074"/>
      <c r="D53" s="1052"/>
      <c r="E53" s="1059"/>
      <c r="F53" s="1049"/>
      <c r="G53" s="1032"/>
      <c r="H53" s="99" t="s">
        <v>350</v>
      </c>
    </row>
    <row r="54" spans="2:8" ht="28.65" customHeight="1" x14ac:dyDescent="0.3">
      <c r="B54" s="1068"/>
      <c r="C54" s="1074"/>
      <c r="D54" s="1052"/>
      <c r="E54" s="1059"/>
      <c r="F54" s="1049"/>
      <c r="G54" s="1039" t="s">
        <v>351</v>
      </c>
      <c r="H54" s="95" t="s">
        <v>352</v>
      </c>
    </row>
    <row r="55" spans="2:8" x14ac:dyDescent="0.3">
      <c r="B55" s="1068"/>
      <c r="C55" s="1074"/>
      <c r="D55" s="1052"/>
      <c r="E55" s="1059"/>
      <c r="F55" s="1049"/>
      <c r="G55" s="1031"/>
      <c r="H55" s="96" t="s">
        <v>353</v>
      </c>
    </row>
    <row r="56" spans="2:8" x14ac:dyDescent="0.3">
      <c r="B56" s="1068"/>
      <c r="C56" s="1074"/>
      <c r="D56" s="1052"/>
      <c r="E56" s="1059"/>
      <c r="F56" s="1049"/>
      <c r="G56" s="1031"/>
      <c r="H56" s="96" t="s">
        <v>354</v>
      </c>
    </row>
    <row r="57" spans="2:8" ht="15" thickBot="1" x14ac:dyDescent="0.35">
      <c r="B57" s="1068"/>
      <c r="C57" s="1074"/>
      <c r="D57" s="1052"/>
      <c r="E57" s="1059"/>
      <c r="F57" s="1049"/>
      <c r="G57" s="1032"/>
      <c r="H57" s="97" t="s">
        <v>355</v>
      </c>
    </row>
    <row r="58" spans="2:8" x14ac:dyDescent="0.3">
      <c r="B58" s="1068"/>
      <c r="C58" s="1074"/>
      <c r="D58" s="1052"/>
      <c r="E58" s="1059"/>
      <c r="F58" s="1049"/>
      <c r="G58" s="1039" t="s">
        <v>356</v>
      </c>
      <c r="H58" s="95" t="s">
        <v>357</v>
      </c>
    </row>
    <row r="59" spans="2:8" x14ac:dyDescent="0.3">
      <c r="B59" s="1068"/>
      <c r="C59" s="1074"/>
      <c r="D59" s="1052"/>
      <c r="E59" s="1059"/>
      <c r="F59" s="1049"/>
      <c r="G59" s="1031"/>
      <c r="H59" s="96" t="s">
        <v>358</v>
      </c>
    </row>
    <row r="60" spans="2:8" ht="15" thickBot="1" x14ac:dyDescent="0.35">
      <c r="B60" s="1068"/>
      <c r="C60" s="1074"/>
      <c r="D60" s="1052"/>
      <c r="E60" s="1059"/>
      <c r="F60" s="1050"/>
      <c r="G60" s="1043"/>
      <c r="H60" s="110" t="s">
        <v>359</v>
      </c>
    </row>
    <row r="61" spans="2:8" ht="43.35" customHeight="1" x14ac:dyDescent="0.3">
      <c r="B61" s="1068"/>
      <c r="C61" s="1074"/>
      <c r="D61" s="1052"/>
      <c r="E61" s="1059"/>
      <c r="F61" s="1040" t="s">
        <v>360</v>
      </c>
      <c r="G61" s="1039" t="s">
        <v>361</v>
      </c>
      <c r="H61" s="95" t="s">
        <v>362</v>
      </c>
    </row>
    <row r="62" spans="2:8" ht="28.8" x14ac:dyDescent="0.3">
      <c r="B62" s="1068"/>
      <c r="C62" s="1074"/>
      <c r="D62" s="1052"/>
      <c r="E62" s="1059"/>
      <c r="F62" s="1041"/>
      <c r="G62" s="1031"/>
      <c r="H62" s="96" t="s">
        <v>363</v>
      </c>
    </row>
    <row r="63" spans="2:8" ht="29.4" thickBot="1" x14ac:dyDescent="0.35">
      <c r="B63" s="1068"/>
      <c r="C63" s="1074"/>
      <c r="D63" s="1052"/>
      <c r="E63" s="1059"/>
      <c r="F63" s="1041"/>
      <c r="G63" s="1032"/>
      <c r="H63" s="97" t="s">
        <v>364</v>
      </c>
    </row>
    <row r="64" spans="2:8" ht="43.35" customHeight="1" x14ac:dyDescent="0.3">
      <c r="B64" s="1068"/>
      <c r="C64" s="1074"/>
      <c r="D64" s="1052"/>
      <c r="E64" s="1059"/>
      <c r="F64" s="1041"/>
      <c r="G64" s="1039" t="s">
        <v>365</v>
      </c>
      <c r="H64" s="98" t="s">
        <v>366</v>
      </c>
    </row>
    <row r="65" spans="2:8" ht="28.8" x14ac:dyDescent="0.3">
      <c r="B65" s="1068"/>
      <c r="C65" s="1074"/>
      <c r="D65" s="1052"/>
      <c r="E65" s="1059"/>
      <c r="F65" s="1041"/>
      <c r="G65" s="1031"/>
      <c r="H65" s="96" t="s">
        <v>367</v>
      </c>
    </row>
    <row r="66" spans="2:8" ht="15" thickBot="1" x14ac:dyDescent="0.35">
      <c r="B66" s="1068"/>
      <c r="C66" s="1074"/>
      <c r="D66" s="1052"/>
      <c r="E66" s="1059"/>
      <c r="F66" s="1041"/>
      <c r="G66" s="1032"/>
      <c r="H66" s="97" t="s">
        <v>368</v>
      </c>
    </row>
    <row r="67" spans="2:8" ht="43.35" customHeight="1" x14ac:dyDescent="0.3">
      <c r="B67" s="1068"/>
      <c r="C67" s="1074"/>
      <c r="D67" s="1052"/>
      <c r="E67" s="1059"/>
      <c r="F67" s="1041"/>
      <c r="G67" s="1039" t="s">
        <v>369</v>
      </c>
      <c r="H67" s="95" t="s">
        <v>370</v>
      </c>
    </row>
    <row r="68" spans="2:8" ht="29.4" thickBot="1" x14ac:dyDescent="0.35">
      <c r="B68" s="1068"/>
      <c r="C68" s="1074"/>
      <c r="D68" s="1052"/>
      <c r="E68" s="1059"/>
      <c r="F68" s="1041"/>
      <c r="G68" s="1032"/>
      <c r="H68" s="97" t="s">
        <v>371</v>
      </c>
    </row>
    <row r="69" spans="2:8" x14ac:dyDescent="0.3">
      <c r="B69" s="1068"/>
      <c r="C69" s="1074"/>
      <c r="D69" s="1052"/>
      <c r="E69" s="1059"/>
      <c r="F69" s="1041"/>
      <c r="G69" s="1039" t="s">
        <v>372</v>
      </c>
      <c r="H69" s="95" t="s">
        <v>373</v>
      </c>
    </row>
    <row r="70" spans="2:8" x14ac:dyDescent="0.3">
      <c r="B70" s="1068"/>
      <c r="C70" s="1074"/>
      <c r="D70" s="1052"/>
      <c r="E70" s="1059"/>
      <c r="F70" s="1041"/>
      <c r="G70" s="1031"/>
      <c r="H70" s="96" t="s">
        <v>374</v>
      </c>
    </row>
    <row r="71" spans="2:8" ht="15" thickBot="1" x14ac:dyDescent="0.35">
      <c r="B71" s="1068"/>
      <c r="C71" s="1074"/>
      <c r="D71" s="1052"/>
      <c r="E71" s="1059"/>
      <c r="F71" s="1044"/>
      <c r="G71" s="1043"/>
      <c r="H71" s="110" t="s">
        <v>375</v>
      </c>
    </row>
    <row r="72" spans="2:8" ht="14.4" customHeight="1" x14ac:dyDescent="0.3">
      <c r="B72" s="1068"/>
      <c r="C72" s="1074"/>
      <c r="D72" s="1052"/>
      <c r="E72" s="1059"/>
      <c r="F72" s="1054" t="s">
        <v>376</v>
      </c>
      <c r="G72" s="1045" t="s">
        <v>377</v>
      </c>
      <c r="H72" s="111" t="s">
        <v>378</v>
      </c>
    </row>
    <row r="73" spans="2:8" ht="14.4" customHeight="1" x14ac:dyDescent="0.3">
      <c r="B73" s="1068"/>
      <c r="C73" s="1074"/>
      <c r="D73" s="1052"/>
      <c r="E73" s="1059"/>
      <c r="F73" s="1049"/>
      <c r="G73" s="1046"/>
      <c r="H73" s="112" t="s">
        <v>379</v>
      </c>
    </row>
    <row r="74" spans="2:8" ht="14.4" customHeight="1" thickBot="1" x14ac:dyDescent="0.35">
      <c r="B74" s="1068"/>
      <c r="C74" s="1074"/>
      <c r="D74" s="1052"/>
      <c r="E74" s="1059"/>
      <c r="F74" s="1049"/>
      <c r="G74" s="1047"/>
      <c r="H74" s="113" t="s">
        <v>380</v>
      </c>
    </row>
    <row r="75" spans="2:8" ht="14.4" customHeight="1" x14ac:dyDescent="0.3">
      <c r="B75" s="1068"/>
      <c r="C75" s="1074"/>
      <c r="D75" s="1052"/>
      <c r="E75" s="1059"/>
      <c r="F75" s="1049"/>
      <c r="G75" s="1045" t="s">
        <v>381</v>
      </c>
      <c r="H75" s="111" t="s">
        <v>382</v>
      </c>
    </row>
    <row r="76" spans="2:8" ht="32.25" customHeight="1" thickBot="1" x14ac:dyDescent="0.35">
      <c r="B76" s="1068"/>
      <c r="C76" s="1074"/>
      <c r="D76" s="1052"/>
      <c r="E76" s="1059"/>
      <c r="F76" s="1049"/>
      <c r="G76" s="1046"/>
      <c r="H76" s="113" t="s">
        <v>383</v>
      </c>
    </row>
    <row r="77" spans="2:8" ht="15" thickBot="1" x14ac:dyDescent="0.35">
      <c r="B77" s="1068"/>
      <c r="C77" s="1074"/>
      <c r="D77" s="1052"/>
      <c r="E77" s="1059"/>
      <c r="F77" s="1049"/>
      <c r="G77" s="115" t="s">
        <v>384</v>
      </c>
      <c r="H77" s="114"/>
    </row>
    <row r="78" spans="2:8" ht="15" thickBot="1" x14ac:dyDescent="0.35">
      <c r="B78" s="1068"/>
      <c r="C78" s="1074"/>
      <c r="D78" s="1052"/>
      <c r="E78" s="1060"/>
      <c r="F78" s="1050"/>
      <c r="G78" s="117" t="s">
        <v>385</v>
      </c>
      <c r="H78" s="118"/>
    </row>
    <row r="79" spans="2:8" ht="15" thickBot="1" x14ac:dyDescent="0.35">
      <c r="B79" s="1068"/>
      <c r="C79" s="1074"/>
      <c r="D79" s="1053"/>
      <c r="E79" s="126"/>
      <c r="F79" s="127" t="s">
        <v>386</v>
      </c>
      <c r="G79" s="129"/>
      <c r="H79" s="128"/>
    </row>
    <row r="80" spans="2:8" ht="87" thickBot="1" x14ac:dyDescent="0.35">
      <c r="B80" s="1068"/>
      <c r="C80" s="1074"/>
      <c r="D80" s="13" t="s">
        <v>387</v>
      </c>
      <c r="E80" s="1065" t="s">
        <v>388</v>
      </c>
      <c r="F80" s="1066"/>
      <c r="G80" s="1066"/>
      <c r="H80" s="1066"/>
    </row>
    <row r="81" spans="2:8" ht="72.599999999999994" thickBot="1" x14ac:dyDescent="0.35">
      <c r="B81" s="1068"/>
      <c r="C81" s="1074"/>
      <c r="D81" s="12" t="s">
        <v>389</v>
      </c>
      <c r="E81" s="1065" t="s">
        <v>284</v>
      </c>
      <c r="F81" s="1066"/>
      <c r="G81" s="1066"/>
      <c r="H81" s="1066"/>
    </row>
    <row r="82" spans="2:8" ht="87" thickBot="1" x14ac:dyDescent="0.35">
      <c r="B82" s="1068"/>
      <c r="C82" s="1075"/>
      <c r="D82" s="14" t="s">
        <v>390</v>
      </c>
      <c r="E82" s="1065" t="s">
        <v>391</v>
      </c>
      <c r="F82" s="1066"/>
      <c r="G82" s="1066"/>
      <c r="H82" s="1066"/>
    </row>
    <row r="83" spans="2:8" ht="14.4" customHeight="1" thickBot="1" x14ac:dyDescent="0.35">
      <c r="B83" s="1068"/>
      <c r="C83" s="1070" t="s">
        <v>392</v>
      </c>
      <c r="D83" s="1063" t="s">
        <v>393</v>
      </c>
      <c r="E83" s="1033" t="s">
        <v>288</v>
      </c>
      <c r="F83" s="1040" t="s">
        <v>394</v>
      </c>
      <c r="G83" s="115" t="s">
        <v>395</v>
      </c>
      <c r="H83" s="150"/>
    </row>
    <row r="84" spans="2:8" ht="15" thickBot="1" x14ac:dyDescent="0.35">
      <c r="B84" s="1068"/>
      <c r="C84" s="1071"/>
      <c r="D84" s="1064"/>
      <c r="E84" s="1034"/>
      <c r="F84" s="1041"/>
      <c r="G84" s="115" t="s">
        <v>396</v>
      </c>
      <c r="H84" s="151"/>
    </row>
    <row r="85" spans="2:8" ht="29.4" thickBot="1" x14ac:dyDescent="0.35">
      <c r="B85" s="1068"/>
      <c r="C85" s="1071"/>
      <c r="D85" s="1064"/>
      <c r="E85" s="1034"/>
      <c r="F85" s="1041"/>
      <c r="G85" s="115" t="s">
        <v>397</v>
      </c>
      <c r="H85" s="151"/>
    </row>
    <row r="86" spans="2:8" ht="29.4" thickBot="1" x14ac:dyDescent="0.35">
      <c r="B86" s="1068"/>
      <c r="C86" s="1071"/>
      <c r="D86" s="1064"/>
      <c r="E86" s="1034"/>
      <c r="F86" s="1041"/>
      <c r="G86" s="115" t="s">
        <v>398</v>
      </c>
      <c r="H86" s="151"/>
    </row>
    <row r="87" spans="2:8" ht="29.4" thickBot="1" x14ac:dyDescent="0.35">
      <c r="B87" s="1068"/>
      <c r="C87" s="1071"/>
      <c r="D87" s="1064"/>
      <c r="E87" s="1034"/>
      <c r="F87" s="1041"/>
      <c r="G87" s="115" t="s">
        <v>399</v>
      </c>
      <c r="H87" s="151"/>
    </row>
    <row r="88" spans="2:8" ht="29.4" thickBot="1" x14ac:dyDescent="0.35">
      <c r="B88" s="1068"/>
      <c r="C88" s="1071"/>
      <c r="D88" s="1064"/>
      <c r="E88" s="1034"/>
      <c r="F88" s="1041"/>
      <c r="G88" s="115" t="s">
        <v>400</v>
      </c>
      <c r="H88" s="151"/>
    </row>
    <row r="89" spans="2:8" ht="15" thickBot="1" x14ac:dyDescent="0.35">
      <c r="B89" s="1068"/>
      <c r="C89" s="1071"/>
      <c r="D89" s="1064"/>
      <c r="E89" s="1034"/>
      <c r="F89" s="1041"/>
      <c r="G89" s="115" t="s">
        <v>401</v>
      </c>
      <c r="H89" s="151"/>
    </row>
    <row r="90" spans="2:8" ht="29.4" thickBot="1" x14ac:dyDescent="0.35">
      <c r="B90" s="1068"/>
      <c r="C90" s="1071"/>
      <c r="D90" s="1064"/>
      <c r="E90" s="1034"/>
      <c r="F90" s="1041"/>
      <c r="G90" s="115" t="s">
        <v>402</v>
      </c>
      <c r="H90" s="151"/>
    </row>
    <row r="91" spans="2:8" ht="15" thickBot="1" x14ac:dyDescent="0.35">
      <c r="B91" s="1068"/>
      <c r="C91" s="1071"/>
      <c r="D91" s="1064"/>
      <c r="E91" s="1034"/>
      <c r="F91" s="1041"/>
      <c r="G91" s="115" t="s">
        <v>403</v>
      </c>
      <c r="H91" s="151"/>
    </row>
    <row r="92" spans="2:8" ht="15" thickBot="1" x14ac:dyDescent="0.35">
      <c r="B92" s="1068"/>
      <c r="C92" s="1071"/>
      <c r="D92" s="1064"/>
      <c r="E92" s="1034"/>
      <c r="F92" s="1041"/>
      <c r="G92" s="115" t="s">
        <v>404</v>
      </c>
      <c r="H92" s="151"/>
    </row>
    <row r="93" spans="2:8" ht="15" thickBot="1" x14ac:dyDescent="0.35">
      <c r="B93" s="1068"/>
      <c r="C93" s="1071"/>
      <c r="D93" s="1064"/>
      <c r="E93" s="1034"/>
      <c r="F93" s="1041"/>
      <c r="G93" s="115" t="s">
        <v>405</v>
      </c>
      <c r="H93" s="151"/>
    </row>
    <row r="94" spans="2:8" ht="15" thickBot="1" x14ac:dyDescent="0.35">
      <c r="B94" s="1068"/>
      <c r="C94" s="1071"/>
      <c r="D94" s="1064"/>
      <c r="E94" s="1034"/>
      <c r="F94" s="1041"/>
      <c r="G94" s="115" t="s">
        <v>406</v>
      </c>
      <c r="H94" s="151"/>
    </row>
    <row r="95" spans="2:8" ht="29.4" thickBot="1" x14ac:dyDescent="0.35">
      <c r="B95" s="1068"/>
      <c r="C95" s="1071"/>
      <c r="D95" s="1064"/>
      <c r="E95" s="1034"/>
      <c r="F95" s="1042"/>
      <c r="G95" s="117" t="s">
        <v>407</v>
      </c>
      <c r="H95" s="152"/>
    </row>
    <row r="96" spans="2:8" ht="43.35" customHeight="1" x14ac:dyDescent="0.3">
      <c r="B96" s="1068"/>
      <c r="C96" s="1071"/>
      <c r="D96" s="6" t="s">
        <v>408</v>
      </c>
      <c r="E96" s="1034"/>
      <c r="F96" s="1036" t="s">
        <v>409</v>
      </c>
      <c r="G96" s="1039" t="s">
        <v>410</v>
      </c>
      <c r="H96" s="162" t="s">
        <v>411</v>
      </c>
    </row>
    <row r="97" spans="2:8" ht="83.4" customHeight="1" x14ac:dyDescent="0.3">
      <c r="B97" s="1068"/>
      <c r="C97" s="1071"/>
      <c r="D97" s="6" t="s">
        <v>412</v>
      </c>
      <c r="E97" s="1034"/>
      <c r="F97" s="1037"/>
      <c r="G97" s="1031"/>
      <c r="H97" s="7" t="s">
        <v>413</v>
      </c>
    </row>
    <row r="98" spans="2:8" ht="83.4" customHeight="1" x14ac:dyDescent="0.3">
      <c r="B98" s="1068"/>
      <c r="C98" s="1071"/>
      <c r="D98" s="6" t="s">
        <v>414</v>
      </c>
      <c r="E98" s="1034"/>
      <c r="F98" s="1037"/>
      <c r="G98" s="1031"/>
      <c r="H98" s="7" t="s">
        <v>415</v>
      </c>
    </row>
    <row r="99" spans="2:8" ht="83.4" customHeight="1" thickBot="1" x14ac:dyDescent="0.35">
      <c r="B99" s="1068"/>
      <c r="C99" s="1071"/>
      <c r="D99" s="6" t="s">
        <v>287</v>
      </c>
      <c r="E99" s="1034"/>
      <c r="F99" s="1037"/>
      <c r="G99" s="1043"/>
      <c r="H99" s="163" t="s">
        <v>416</v>
      </c>
    </row>
    <row r="100" spans="2:8" ht="83.4" customHeight="1" x14ac:dyDescent="0.3">
      <c r="B100" s="1068"/>
      <c r="C100" s="1071"/>
      <c r="D100" s="1064" t="s">
        <v>408</v>
      </c>
      <c r="E100" s="1034"/>
      <c r="F100" s="1037"/>
      <c r="G100" s="1039" t="s">
        <v>417</v>
      </c>
      <c r="H100" s="125" t="s">
        <v>418</v>
      </c>
    </row>
    <row r="101" spans="2:8" ht="83.4" customHeight="1" x14ac:dyDescent="0.3">
      <c r="B101" s="1068"/>
      <c r="C101" s="1071"/>
      <c r="D101" s="1064"/>
      <c r="E101" s="1034"/>
      <c r="F101" s="1037"/>
      <c r="G101" s="1031"/>
      <c r="H101" s="7" t="s">
        <v>419</v>
      </c>
    </row>
    <row r="102" spans="2:8" ht="83.4" customHeight="1" x14ac:dyDescent="0.3">
      <c r="B102" s="1068"/>
      <c r="C102" s="1071"/>
      <c r="D102" s="1064"/>
      <c r="E102" s="1034"/>
      <c r="F102" s="1037"/>
      <c r="G102" s="1031"/>
      <c r="H102" s="7" t="s">
        <v>420</v>
      </c>
    </row>
    <row r="103" spans="2:8" ht="83.4" customHeight="1" x14ac:dyDescent="0.3">
      <c r="B103" s="1068"/>
      <c r="C103" s="1071"/>
      <c r="D103" s="1064" t="s">
        <v>412</v>
      </c>
      <c r="E103" s="1034"/>
      <c r="F103" s="1037"/>
      <c r="G103" s="1031"/>
      <c r="H103" s="7" t="s">
        <v>421</v>
      </c>
    </row>
    <row r="104" spans="2:8" ht="83.4" customHeight="1" x14ac:dyDescent="0.3">
      <c r="B104" s="1068"/>
      <c r="C104" s="1071"/>
      <c r="D104" s="1064"/>
      <c r="E104" s="1034"/>
      <c r="F104" s="1037"/>
      <c r="G104" s="1031"/>
      <c r="H104" s="7" t="s">
        <v>422</v>
      </c>
    </row>
    <row r="105" spans="2:8" ht="83.4" customHeight="1" x14ac:dyDescent="0.3">
      <c r="B105" s="1068"/>
      <c r="C105" s="1071"/>
      <c r="D105" s="1064"/>
      <c r="E105" s="1034"/>
      <c r="F105" s="1037"/>
      <c r="G105" s="1031"/>
      <c r="H105" s="7" t="s">
        <v>423</v>
      </c>
    </row>
    <row r="106" spans="2:8" ht="83.4" customHeight="1" x14ac:dyDescent="0.3">
      <c r="B106" s="1068"/>
      <c r="C106" s="1071"/>
      <c r="D106" s="1064"/>
      <c r="E106" s="1034"/>
      <c r="F106" s="1037"/>
      <c r="G106" s="1031"/>
      <c r="H106" s="7" t="s">
        <v>424</v>
      </c>
    </row>
    <row r="107" spans="2:8" ht="83.4" customHeight="1" thickBot="1" x14ac:dyDescent="0.35">
      <c r="B107" s="1068"/>
      <c r="C107" s="1071"/>
      <c r="D107" s="6" t="s">
        <v>414</v>
      </c>
      <c r="E107" s="1034"/>
      <c r="F107" s="1037"/>
      <c r="G107" s="1032"/>
      <c r="H107" s="7" t="s">
        <v>425</v>
      </c>
    </row>
    <row r="108" spans="2:8" ht="14.4" customHeight="1" thickBot="1" x14ac:dyDescent="0.35">
      <c r="B108" s="1068"/>
      <c r="C108" s="1071"/>
      <c r="D108" s="1076" t="s">
        <v>426</v>
      </c>
      <c r="E108" s="1034"/>
      <c r="F108" s="1036" t="s">
        <v>427</v>
      </c>
      <c r="G108" s="161" t="s">
        <v>428</v>
      </c>
      <c r="H108" s="153"/>
    </row>
    <row r="109" spans="2:8" ht="15" thickBot="1" x14ac:dyDescent="0.35">
      <c r="B109" s="1068"/>
      <c r="C109" s="1071"/>
      <c r="D109" s="1076"/>
      <c r="E109" s="1034"/>
      <c r="F109" s="1037"/>
      <c r="G109" s="120" t="s">
        <v>429</v>
      </c>
      <c r="H109" s="154"/>
    </row>
    <row r="110" spans="2:8" ht="15" thickBot="1" x14ac:dyDescent="0.35">
      <c r="B110" s="1068"/>
      <c r="C110" s="1071"/>
      <c r="D110" s="1076"/>
      <c r="E110" s="1034"/>
      <c r="F110" s="1037"/>
      <c r="G110" s="120" t="s">
        <v>430</v>
      </c>
      <c r="H110" s="154"/>
    </row>
    <row r="111" spans="2:8" ht="43.8" thickBot="1" x14ac:dyDescent="0.35">
      <c r="B111" s="1068"/>
      <c r="C111" s="1071"/>
      <c r="D111" s="1076"/>
      <c r="E111" s="1034"/>
      <c r="F111" s="1038"/>
      <c r="G111" s="120" t="s">
        <v>431</v>
      </c>
      <c r="H111" s="155"/>
    </row>
    <row r="112" spans="2:8" ht="14.4" customHeight="1" x14ac:dyDescent="0.3">
      <c r="B112" s="1068"/>
      <c r="C112" s="1071"/>
      <c r="D112" s="1076"/>
      <c r="E112" s="1034"/>
      <c r="F112" s="1036" t="s">
        <v>432</v>
      </c>
      <c r="G112" s="1030" t="s">
        <v>433</v>
      </c>
      <c r="H112" s="100" t="s">
        <v>434</v>
      </c>
    </row>
    <row r="113" spans="2:8" x14ac:dyDescent="0.3">
      <c r="B113" s="1068"/>
      <c r="C113" s="1071"/>
      <c r="D113" s="1076"/>
      <c r="E113" s="1034"/>
      <c r="F113" s="1037"/>
      <c r="G113" s="1031"/>
      <c r="H113" s="101" t="s">
        <v>435</v>
      </c>
    </row>
    <row r="114" spans="2:8" ht="15" thickBot="1" x14ac:dyDescent="0.35">
      <c r="B114" s="1068"/>
      <c r="C114" s="1071"/>
      <c r="D114" s="1076"/>
      <c r="E114" s="1034"/>
      <c r="F114" s="1037"/>
      <c r="G114" s="1032"/>
      <c r="H114" s="102" t="s">
        <v>436</v>
      </c>
    </row>
    <row r="115" spans="2:8" x14ac:dyDescent="0.3">
      <c r="B115" s="1068"/>
      <c r="C115" s="1071"/>
      <c r="D115" s="1076"/>
      <c r="E115" s="1034"/>
      <c r="F115" s="1037"/>
      <c r="G115" s="1039" t="s">
        <v>437</v>
      </c>
      <c r="H115" s="95" t="s">
        <v>438</v>
      </c>
    </row>
    <row r="116" spans="2:8" x14ac:dyDescent="0.3">
      <c r="B116" s="1068"/>
      <c r="C116" s="1071"/>
      <c r="D116" s="1076"/>
      <c r="E116" s="1034"/>
      <c r="F116" s="1037"/>
      <c r="G116" s="1031"/>
      <c r="H116" s="96" t="s">
        <v>439</v>
      </c>
    </row>
    <row r="117" spans="2:8" ht="28.8" x14ac:dyDescent="0.3">
      <c r="B117" s="1068"/>
      <c r="C117" s="1071"/>
      <c r="D117" s="1076"/>
      <c r="E117" s="1034"/>
      <c r="F117" s="1037"/>
      <c r="G117" s="1031"/>
      <c r="H117" s="96" t="s">
        <v>440</v>
      </c>
    </row>
    <row r="118" spans="2:8" ht="15" thickBot="1" x14ac:dyDescent="0.35">
      <c r="B118" s="1068"/>
      <c r="C118" s="1071"/>
      <c r="D118" s="1076"/>
      <c r="E118" s="1034"/>
      <c r="F118" s="1037"/>
      <c r="G118" s="1032"/>
      <c r="H118" s="97" t="s">
        <v>441</v>
      </c>
    </row>
    <row r="119" spans="2:8" ht="28.8" x14ac:dyDescent="0.3">
      <c r="B119" s="1068"/>
      <c r="C119" s="1071"/>
      <c r="D119" s="1076"/>
      <c r="E119" s="1034"/>
      <c r="F119" s="1037"/>
      <c r="G119" s="1039" t="s">
        <v>442</v>
      </c>
      <c r="H119" s="100" t="s">
        <v>443</v>
      </c>
    </row>
    <row r="120" spans="2:8" ht="43.2" x14ac:dyDescent="0.3">
      <c r="B120" s="1068"/>
      <c r="C120" s="1071"/>
      <c r="D120" s="1076"/>
      <c r="E120" s="1034"/>
      <c r="F120" s="1037"/>
      <c r="G120" s="1031"/>
      <c r="H120" s="101" t="s">
        <v>444</v>
      </c>
    </row>
    <row r="121" spans="2:8" x14ac:dyDescent="0.3">
      <c r="B121" s="1068"/>
      <c r="C121" s="1071"/>
      <c r="D121" s="1076"/>
      <c r="E121" s="1034"/>
      <c r="F121" s="1037"/>
      <c r="G121" s="1031"/>
      <c r="H121" s="101" t="s">
        <v>445</v>
      </c>
    </row>
    <row r="122" spans="2:8" ht="29.4" thickBot="1" x14ac:dyDescent="0.35">
      <c r="B122" s="1068"/>
      <c r="C122" s="1071"/>
      <c r="D122" s="1076"/>
      <c r="E122" s="1034"/>
      <c r="F122" s="1038"/>
      <c r="G122" s="1032"/>
      <c r="H122" s="102" t="s">
        <v>446</v>
      </c>
    </row>
    <row r="123" spans="2:8" ht="28.65" customHeight="1" thickBot="1" x14ac:dyDescent="0.35">
      <c r="B123" s="1068"/>
      <c r="C123" s="1071"/>
      <c r="D123" s="1077"/>
      <c r="E123" s="1035"/>
      <c r="F123" s="103" t="s">
        <v>447</v>
      </c>
      <c r="G123" s="121" t="s">
        <v>448</v>
      </c>
      <c r="H123" s="92" t="s">
        <v>449</v>
      </c>
    </row>
    <row r="124" spans="2:8" ht="43.8" thickBot="1" x14ac:dyDescent="0.35">
      <c r="B124" s="1068"/>
      <c r="C124" s="1071"/>
      <c r="D124" s="147" t="s">
        <v>450</v>
      </c>
      <c r="E124" s="123"/>
      <c r="F124" s="149" t="s">
        <v>451</v>
      </c>
      <c r="G124" s="148"/>
      <c r="H124" s="156"/>
    </row>
    <row r="125" spans="2:8" ht="43.8" thickBot="1" x14ac:dyDescent="0.35">
      <c r="B125" s="1069"/>
      <c r="C125" s="1072"/>
      <c r="D125" s="157" t="s">
        <v>452</v>
      </c>
      <c r="E125" s="124"/>
      <c r="F125" s="103" t="s">
        <v>453</v>
      </c>
      <c r="G125" s="158"/>
      <c r="H125" s="159"/>
    </row>
    <row r="126" spans="2:8" ht="57.6" customHeight="1" thickBot="1" x14ac:dyDescent="0.35">
      <c r="B126" s="1027" t="s">
        <v>454</v>
      </c>
      <c r="C126" s="1024" t="s">
        <v>455</v>
      </c>
      <c r="D126" s="1021" t="s">
        <v>456</v>
      </c>
      <c r="E126" s="1033" t="s">
        <v>288</v>
      </c>
      <c r="F126" s="1040" t="s">
        <v>457</v>
      </c>
      <c r="G126" s="115" t="s">
        <v>458</v>
      </c>
      <c r="H126" s="644"/>
    </row>
    <row r="127" spans="2:8" ht="29.4" thickBot="1" x14ac:dyDescent="0.35">
      <c r="B127" s="1028"/>
      <c r="C127" s="1025"/>
      <c r="D127" s="1022"/>
      <c r="E127" s="1034"/>
      <c r="F127" s="1041"/>
      <c r="G127" s="115" t="s">
        <v>459</v>
      </c>
      <c r="H127" s="645"/>
    </row>
    <row r="128" spans="2:8" ht="15" thickBot="1" x14ac:dyDescent="0.35">
      <c r="B128" s="1028"/>
      <c r="C128" s="1025"/>
      <c r="D128" s="1022"/>
      <c r="E128" s="1034"/>
      <c r="F128" s="1044"/>
      <c r="G128" s="115" t="s">
        <v>460</v>
      </c>
      <c r="H128" s="645"/>
    </row>
    <row r="129" spans="2:8" ht="29.4" thickBot="1" x14ac:dyDescent="0.35">
      <c r="B129" s="1028"/>
      <c r="C129" s="1025"/>
      <c r="D129" s="1022"/>
      <c r="E129" s="1034"/>
      <c r="F129" s="1040" t="s">
        <v>461</v>
      </c>
      <c r="G129" s="115" t="s">
        <v>462</v>
      </c>
      <c r="H129" s="645"/>
    </row>
    <row r="130" spans="2:8" ht="29.4" thickBot="1" x14ac:dyDescent="0.35">
      <c r="B130" s="1028"/>
      <c r="C130" s="1025"/>
      <c r="D130" s="1022"/>
      <c r="E130" s="1034"/>
      <c r="F130" s="1041"/>
      <c r="G130" s="115" t="s">
        <v>463</v>
      </c>
      <c r="H130" s="645"/>
    </row>
    <row r="131" spans="2:8" ht="29.4" thickBot="1" x14ac:dyDescent="0.35">
      <c r="B131" s="1028"/>
      <c r="C131" s="1025"/>
      <c r="D131" s="1022"/>
      <c r="E131" s="1035"/>
      <c r="F131" s="1044"/>
      <c r="G131" s="115" t="s">
        <v>464</v>
      </c>
      <c r="H131" s="646"/>
    </row>
    <row r="132" spans="2:8" ht="43.8" thickBot="1" x14ac:dyDescent="0.35">
      <c r="B132" s="1029"/>
      <c r="C132" s="1026"/>
      <c r="D132" s="1023"/>
      <c r="E132" s="390"/>
      <c r="F132" s="647" t="s">
        <v>465</v>
      </c>
      <c r="G132" s="648"/>
      <c r="H132" s="649"/>
    </row>
  </sheetData>
  <mergeCells count="53">
    <mergeCell ref="B3:B125"/>
    <mergeCell ref="C83:C125"/>
    <mergeCell ref="E126:E131"/>
    <mergeCell ref="C3:C82"/>
    <mergeCell ref="D100:D102"/>
    <mergeCell ref="D108:D123"/>
    <mergeCell ref="D103:D106"/>
    <mergeCell ref="E3:H3"/>
    <mergeCell ref="E4:H4"/>
    <mergeCell ref="E5:H5"/>
    <mergeCell ref="F16:F20"/>
    <mergeCell ref="F21:F24"/>
    <mergeCell ref="F126:F128"/>
    <mergeCell ref="F129:F131"/>
    <mergeCell ref="G119:G122"/>
    <mergeCell ref="G112:G114"/>
    <mergeCell ref="G115:G118"/>
    <mergeCell ref="D83:D95"/>
    <mergeCell ref="E82:H82"/>
    <mergeCell ref="E81:H81"/>
    <mergeCell ref="E80:H80"/>
    <mergeCell ref="G96:G99"/>
    <mergeCell ref="F27:F60"/>
    <mergeCell ref="G58:G60"/>
    <mergeCell ref="G38:G41"/>
    <mergeCell ref="D6:D79"/>
    <mergeCell ref="G75:G76"/>
    <mergeCell ref="F72:F78"/>
    <mergeCell ref="F11:F15"/>
    <mergeCell ref="E6:E78"/>
    <mergeCell ref="F6:F7"/>
    <mergeCell ref="F8:F10"/>
    <mergeCell ref="G33:G37"/>
    <mergeCell ref="G42:G45"/>
    <mergeCell ref="G46:G49"/>
    <mergeCell ref="G50:G53"/>
    <mergeCell ref="G54:G57"/>
    <mergeCell ref="D126:D132"/>
    <mergeCell ref="C126:C132"/>
    <mergeCell ref="B126:B132"/>
    <mergeCell ref="G27:G32"/>
    <mergeCell ref="E83:E123"/>
    <mergeCell ref="F112:F122"/>
    <mergeCell ref="F108:F111"/>
    <mergeCell ref="G100:G107"/>
    <mergeCell ref="G61:G63"/>
    <mergeCell ref="G64:G66"/>
    <mergeCell ref="G67:G68"/>
    <mergeCell ref="F83:F95"/>
    <mergeCell ref="G69:G71"/>
    <mergeCell ref="F96:F107"/>
    <mergeCell ref="F61:F71"/>
    <mergeCell ref="G72:G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750E-A924-4A19-8F43-0B84AB1FEB6C}">
  <dimension ref="B1:AP200"/>
  <sheetViews>
    <sheetView showGridLines="0" tabSelected="1" zoomScaleNormal="100" workbookViewId="0">
      <selection activeCell="C22" sqref="C22"/>
    </sheetView>
    <sheetView tabSelected="1" workbookViewId="1"/>
  </sheetViews>
  <sheetFormatPr baseColWidth="10" defaultColWidth="11.5546875" defaultRowHeight="14.4" x14ac:dyDescent="0.3"/>
  <cols>
    <col min="1" max="2" width="11.5546875" style="5"/>
    <col min="3" max="3" width="84.44140625" style="5" customWidth="1"/>
    <col min="4" max="5" width="16.109375" style="21" customWidth="1"/>
    <col min="6" max="6" width="16.109375" style="5" customWidth="1"/>
    <col min="7" max="7" width="16.109375" style="21" customWidth="1"/>
    <col min="8" max="8" width="14.6640625" style="21" customWidth="1"/>
    <col min="9" max="9" width="22.44140625" style="5" bestFit="1" customWidth="1"/>
    <col min="10" max="10" width="18" style="5" bestFit="1" customWidth="1"/>
    <col min="11" max="16" width="16.109375" style="5" hidden="1" customWidth="1"/>
    <col min="17" max="17" width="14" style="5" bestFit="1" customWidth="1"/>
    <col min="18" max="19" width="13" style="5" bestFit="1" customWidth="1"/>
    <col min="20" max="20" width="13.6640625" style="5" bestFit="1" customWidth="1"/>
    <col min="21" max="21" width="13" style="5" bestFit="1" customWidth="1"/>
    <col min="22" max="22" width="14.6640625" style="5" bestFit="1" customWidth="1"/>
    <col min="23" max="23" width="13" style="5" bestFit="1" customWidth="1"/>
    <col min="24" max="24" width="14.6640625" style="5" bestFit="1" customWidth="1"/>
    <col min="25" max="25" width="13" style="5" bestFit="1" customWidth="1"/>
    <col min="26" max="26" width="13.5546875" style="5" bestFit="1" customWidth="1"/>
    <col min="27" max="35" width="13" style="5" bestFit="1" customWidth="1"/>
    <col min="36" max="37" width="12.6640625" style="5" bestFit="1" customWidth="1"/>
    <col min="38" max="40" width="12" style="5" bestFit="1" customWidth="1"/>
    <col min="41" max="41" width="15.109375" style="21" hidden="1" customWidth="1"/>
    <col min="42" max="42" width="14" style="5" hidden="1" customWidth="1"/>
    <col min="43" max="16384" width="11.5546875" style="5"/>
  </cols>
  <sheetData>
    <row r="1" spans="2:42" ht="15" thickBot="1" x14ac:dyDescent="0.35"/>
    <row r="2" spans="2:42" x14ac:dyDescent="0.3">
      <c r="D2" s="1000" t="e" vm="3">
        <v>#VALUE!</v>
      </c>
      <c r="E2" s="1001"/>
      <c r="F2" s="1001"/>
      <c r="G2" s="1002"/>
      <c r="H2" s="994" t="s">
        <v>1501</v>
      </c>
      <c r="I2" s="995"/>
      <c r="J2" s="995"/>
      <c r="K2" s="995"/>
      <c r="L2" s="995"/>
      <c r="M2" s="995"/>
      <c r="N2" s="995"/>
      <c r="O2" s="995"/>
      <c r="P2" s="995"/>
      <c r="Q2" s="995"/>
      <c r="R2" s="995"/>
      <c r="S2" s="995"/>
      <c r="T2" s="995"/>
      <c r="U2" s="995"/>
      <c r="V2" s="995"/>
      <c r="W2" s="995"/>
      <c r="X2" s="995"/>
      <c r="Y2" s="995"/>
      <c r="Z2" s="995"/>
      <c r="AA2" s="995"/>
      <c r="AB2" s="995"/>
      <c r="AC2" s="996"/>
      <c r="AD2" s="1000" t="e" vm="4">
        <v>#VALUE!</v>
      </c>
      <c r="AE2" s="1001"/>
      <c r="AF2" s="1001"/>
      <c r="AG2" s="1001"/>
      <c r="AH2" s="1002"/>
      <c r="AO2" s="5"/>
    </row>
    <row r="3" spans="2:42" x14ac:dyDescent="0.3">
      <c r="D3" s="1003"/>
      <c r="E3" s="1004"/>
      <c r="F3" s="1004"/>
      <c r="G3" s="1005"/>
      <c r="H3" s="997"/>
      <c r="I3" s="998"/>
      <c r="J3" s="998"/>
      <c r="K3" s="998"/>
      <c r="L3" s="998"/>
      <c r="M3" s="998"/>
      <c r="N3" s="998"/>
      <c r="O3" s="998"/>
      <c r="P3" s="998"/>
      <c r="Q3" s="998"/>
      <c r="R3" s="998"/>
      <c r="S3" s="998"/>
      <c r="T3" s="998"/>
      <c r="U3" s="998"/>
      <c r="V3" s="998"/>
      <c r="W3" s="998"/>
      <c r="X3" s="998"/>
      <c r="Y3" s="998"/>
      <c r="Z3" s="998"/>
      <c r="AA3" s="998"/>
      <c r="AB3" s="998"/>
      <c r="AC3" s="999"/>
      <c r="AD3" s="1003"/>
      <c r="AE3" s="1004"/>
      <c r="AF3" s="1004"/>
      <c r="AG3" s="1004"/>
      <c r="AH3" s="1005"/>
      <c r="AO3" s="5"/>
    </row>
    <row r="4" spans="2:42" x14ac:dyDescent="0.3">
      <c r="D4" s="1003"/>
      <c r="E4" s="1004"/>
      <c r="F4" s="1004"/>
      <c r="G4" s="1005"/>
      <c r="H4" s="997"/>
      <c r="I4" s="998"/>
      <c r="J4" s="998"/>
      <c r="K4" s="998"/>
      <c r="L4" s="998"/>
      <c r="M4" s="998"/>
      <c r="N4" s="998"/>
      <c r="O4" s="998"/>
      <c r="P4" s="998"/>
      <c r="Q4" s="998"/>
      <c r="R4" s="998"/>
      <c r="S4" s="998"/>
      <c r="T4" s="998"/>
      <c r="U4" s="998"/>
      <c r="V4" s="998"/>
      <c r="W4" s="998"/>
      <c r="X4" s="998"/>
      <c r="Y4" s="998"/>
      <c r="Z4" s="998"/>
      <c r="AA4" s="998"/>
      <c r="AB4" s="998"/>
      <c r="AC4" s="999"/>
      <c r="AD4" s="1003"/>
      <c r="AE4" s="1004"/>
      <c r="AF4" s="1004"/>
      <c r="AG4" s="1004"/>
      <c r="AH4" s="1005"/>
      <c r="AO4" s="5"/>
    </row>
    <row r="5" spans="2:42" x14ac:dyDescent="0.3">
      <c r="D5" s="1003"/>
      <c r="E5" s="1004"/>
      <c r="F5" s="1004"/>
      <c r="G5" s="1005"/>
      <c r="H5" s="997"/>
      <c r="I5" s="998"/>
      <c r="J5" s="998"/>
      <c r="K5" s="998"/>
      <c r="L5" s="998"/>
      <c r="M5" s="998"/>
      <c r="N5" s="998"/>
      <c r="O5" s="998"/>
      <c r="P5" s="998"/>
      <c r="Q5" s="998"/>
      <c r="R5" s="998"/>
      <c r="S5" s="998"/>
      <c r="T5" s="998"/>
      <c r="U5" s="998"/>
      <c r="V5" s="998"/>
      <c r="W5" s="998"/>
      <c r="X5" s="998"/>
      <c r="Y5" s="998"/>
      <c r="Z5" s="998"/>
      <c r="AA5" s="998"/>
      <c r="AB5" s="998"/>
      <c r="AC5" s="999"/>
      <c r="AD5" s="1003"/>
      <c r="AE5" s="1004"/>
      <c r="AF5" s="1004"/>
      <c r="AG5" s="1004"/>
      <c r="AH5" s="1005"/>
      <c r="AO5" s="5"/>
    </row>
    <row r="6" spans="2:42" x14ac:dyDescent="0.3">
      <c r="D6" s="1003"/>
      <c r="E6" s="1004"/>
      <c r="F6" s="1004"/>
      <c r="G6" s="1005"/>
      <c r="H6" s="1018" t="s">
        <v>1502</v>
      </c>
      <c r="I6" s="1019"/>
      <c r="J6" s="1019"/>
      <c r="K6" s="1019"/>
      <c r="L6" s="1019"/>
      <c r="M6" s="1019"/>
      <c r="N6" s="1019"/>
      <c r="O6" s="1019"/>
      <c r="P6" s="1019"/>
      <c r="Q6" s="1019"/>
      <c r="R6" s="1019"/>
      <c r="S6" s="1019"/>
      <c r="T6" s="1019"/>
      <c r="U6" s="1019"/>
      <c r="V6" s="1019"/>
      <c r="W6" s="1019"/>
      <c r="X6" s="1019"/>
      <c r="Y6" s="1019"/>
      <c r="Z6" s="1019"/>
      <c r="AA6" s="1019"/>
      <c r="AB6" s="1019"/>
      <c r="AC6" s="1020"/>
      <c r="AD6" s="1003"/>
      <c r="AE6" s="1004"/>
      <c r="AF6" s="1004"/>
      <c r="AG6" s="1004"/>
      <c r="AH6" s="1005"/>
      <c r="AO6" s="5"/>
    </row>
    <row r="7" spans="2:42" x14ac:dyDescent="0.3">
      <c r="D7" s="1003"/>
      <c r="E7" s="1004"/>
      <c r="F7" s="1004"/>
      <c r="G7" s="1005"/>
      <c r="H7" s="1018"/>
      <c r="I7" s="1019"/>
      <c r="J7" s="1019"/>
      <c r="K7" s="1019"/>
      <c r="L7" s="1019"/>
      <c r="M7" s="1019"/>
      <c r="N7" s="1019"/>
      <c r="O7" s="1019"/>
      <c r="P7" s="1019"/>
      <c r="Q7" s="1019"/>
      <c r="R7" s="1019"/>
      <c r="S7" s="1019"/>
      <c r="T7" s="1019"/>
      <c r="U7" s="1019"/>
      <c r="V7" s="1019"/>
      <c r="W7" s="1019"/>
      <c r="X7" s="1019"/>
      <c r="Y7" s="1019"/>
      <c r="Z7" s="1019"/>
      <c r="AA7" s="1019"/>
      <c r="AB7" s="1019"/>
      <c r="AC7" s="1020"/>
      <c r="AD7" s="1003"/>
      <c r="AE7" s="1004"/>
      <c r="AF7" s="1004"/>
      <c r="AG7" s="1004"/>
      <c r="AH7" s="1005"/>
      <c r="AO7" s="5"/>
    </row>
    <row r="8" spans="2:42" x14ac:dyDescent="0.3">
      <c r="D8" s="1003"/>
      <c r="E8" s="1004"/>
      <c r="F8" s="1004"/>
      <c r="G8" s="1005"/>
      <c r="H8" s="1018"/>
      <c r="I8" s="1019"/>
      <c r="J8" s="1019"/>
      <c r="K8" s="1019"/>
      <c r="L8" s="1019"/>
      <c r="M8" s="1019"/>
      <c r="N8" s="1019"/>
      <c r="O8" s="1019"/>
      <c r="P8" s="1019"/>
      <c r="Q8" s="1019"/>
      <c r="R8" s="1019"/>
      <c r="S8" s="1019"/>
      <c r="T8" s="1019"/>
      <c r="U8" s="1019"/>
      <c r="V8" s="1019"/>
      <c r="W8" s="1019"/>
      <c r="X8" s="1019"/>
      <c r="Y8" s="1019"/>
      <c r="Z8" s="1019"/>
      <c r="AA8" s="1019"/>
      <c r="AB8" s="1019"/>
      <c r="AC8" s="1020"/>
      <c r="AD8" s="1003"/>
      <c r="AE8" s="1004"/>
      <c r="AF8" s="1004"/>
      <c r="AG8" s="1004"/>
      <c r="AH8" s="1005"/>
      <c r="AO8" s="5"/>
    </row>
    <row r="9" spans="2:42" x14ac:dyDescent="0.3">
      <c r="D9" s="1003"/>
      <c r="E9" s="1004"/>
      <c r="F9" s="1004"/>
      <c r="G9" s="1005"/>
      <c r="H9" s="1012" t="s">
        <v>1505</v>
      </c>
      <c r="I9" s="1013"/>
      <c r="J9" s="1013"/>
      <c r="K9" s="1013"/>
      <c r="L9" s="1013"/>
      <c r="M9" s="1013"/>
      <c r="N9" s="1013"/>
      <c r="O9" s="1013"/>
      <c r="P9" s="1013"/>
      <c r="Q9" s="1013"/>
      <c r="R9" s="1013"/>
      <c r="S9" s="1013"/>
      <c r="T9" s="1013"/>
      <c r="U9" s="1013"/>
      <c r="V9" s="1013"/>
      <c r="W9" s="1013"/>
      <c r="X9" s="1013"/>
      <c r="Y9" s="1013"/>
      <c r="Z9" s="1013"/>
      <c r="AA9" s="1013"/>
      <c r="AB9" s="1013"/>
      <c r="AC9" s="1014"/>
      <c r="AD9" s="1003"/>
      <c r="AE9" s="1004"/>
      <c r="AF9" s="1004"/>
      <c r="AG9" s="1004"/>
      <c r="AH9" s="1005"/>
      <c r="AO9" s="5"/>
    </row>
    <row r="10" spans="2:42" x14ac:dyDescent="0.3">
      <c r="D10" s="1003"/>
      <c r="E10" s="1004"/>
      <c r="F10" s="1004"/>
      <c r="G10" s="1005"/>
      <c r="H10" s="1012"/>
      <c r="I10" s="1013"/>
      <c r="J10" s="1013"/>
      <c r="K10" s="1013"/>
      <c r="L10" s="1013"/>
      <c r="M10" s="1013"/>
      <c r="N10" s="1013"/>
      <c r="O10" s="1013"/>
      <c r="P10" s="1013"/>
      <c r="Q10" s="1013"/>
      <c r="R10" s="1013"/>
      <c r="S10" s="1013"/>
      <c r="T10" s="1013"/>
      <c r="U10" s="1013"/>
      <c r="V10" s="1013"/>
      <c r="W10" s="1013"/>
      <c r="X10" s="1013"/>
      <c r="Y10" s="1013"/>
      <c r="Z10" s="1013"/>
      <c r="AA10" s="1013"/>
      <c r="AB10" s="1013"/>
      <c r="AC10" s="1014"/>
      <c r="AD10" s="1003"/>
      <c r="AE10" s="1004"/>
      <c r="AF10" s="1004"/>
      <c r="AG10" s="1004"/>
      <c r="AH10" s="1005"/>
      <c r="AO10" s="5"/>
    </row>
    <row r="11" spans="2:42" ht="15" thickBot="1" x14ac:dyDescent="0.35">
      <c r="D11" s="1006"/>
      <c r="E11" s="1007"/>
      <c r="F11" s="1007"/>
      <c r="G11" s="1008"/>
      <c r="H11" s="1015"/>
      <c r="I11" s="1016"/>
      <c r="J11" s="1016"/>
      <c r="K11" s="1016"/>
      <c r="L11" s="1016"/>
      <c r="M11" s="1016"/>
      <c r="N11" s="1016"/>
      <c r="O11" s="1016"/>
      <c r="P11" s="1016"/>
      <c r="Q11" s="1016"/>
      <c r="R11" s="1016"/>
      <c r="S11" s="1016"/>
      <c r="T11" s="1016"/>
      <c r="U11" s="1016"/>
      <c r="V11" s="1016"/>
      <c r="W11" s="1016"/>
      <c r="X11" s="1016"/>
      <c r="Y11" s="1016"/>
      <c r="Z11" s="1016"/>
      <c r="AA11" s="1016"/>
      <c r="AB11" s="1016"/>
      <c r="AC11" s="1017"/>
      <c r="AD11" s="1006"/>
      <c r="AE11" s="1007"/>
      <c r="AF11" s="1007"/>
      <c r="AG11" s="1007"/>
      <c r="AH11" s="1008"/>
      <c r="AO11" s="5"/>
    </row>
    <row r="12" spans="2:42" ht="15" thickBot="1" x14ac:dyDescent="0.35"/>
    <row r="13" spans="2:42" ht="15" thickBot="1" x14ac:dyDescent="0.35">
      <c r="I13" s="77" t="s">
        <v>468</v>
      </c>
      <c r="J13" s="78">
        <v>65.5</v>
      </c>
      <c r="K13" s="1095">
        <v>2025</v>
      </c>
      <c r="L13" s="1096"/>
      <c r="M13" s="1096"/>
      <c r="N13" s="1096"/>
      <c r="O13" s="1096"/>
      <c r="P13" s="1097"/>
      <c r="Q13" s="1095">
        <v>2026</v>
      </c>
      <c r="R13" s="1096"/>
      <c r="S13" s="1096"/>
      <c r="T13" s="1096"/>
      <c r="U13" s="1096"/>
      <c r="V13" s="1096"/>
      <c r="W13" s="1096"/>
      <c r="X13" s="1096"/>
      <c r="Y13" s="1096"/>
      <c r="Z13" s="1096"/>
      <c r="AA13" s="1096"/>
      <c r="AB13" s="1097"/>
      <c r="AC13" s="1095">
        <v>2027</v>
      </c>
      <c r="AD13" s="1096"/>
      <c r="AE13" s="1096"/>
      <c r="AF13" s="1096"/>
      <c r="AG13" s="1096"/>
      <c r="AH13" s="1096"/>
      <c r="AI13" s="1096"/>
      <c r="AJ13" s="1096"/>
      <c r="AK13" s="1096"/>
      <c r="AL13" s="1096"/>
      <c r="AM13" s="1096"/>
      <c r="AN13" s="1097"/>
    </row>
    <row r="14" spans="2:42" ht="28.65" customHeight="1" thickBot="1" x14ac:dyDescent="0.35">
      <c r="B14" s="1093" t="s">
        <v>469</v>
      </c>
      <c r="C14" s="1094"/>
      <c r="D14" s="631" t="s">
        <v>2</v>
      </c>
      <c r="E14" s="631" t="s">
        <v>3</v>
      </c>
      <c r="F14" s="631" t="s">
        <v>470</v>
      </c>
      <c r="G14" s="631" t="s">
        <v>471</v>
      </c>
      <c r="H14" s="631" t="s">
        <v>472</v>
      </c>
      <c r="I14" s="631" t="s">
        <v>473</v>
      </c>
      <c r="J14" s="632" t="s">
        <v>474</v>
      </c>
      <c r="K14" s="633" t="s">
        <v>475</v>
      </c>
      <c r="L14" s="631" t="s">
        <v>476</v>
      </c>
      <c r="M14" s="631" t="s">
        <v>477</v>
      </c>
      <c r="N14" s="631" t="s">
        <v>478</v>
      </c>
      <c r="O14" s="631" t="s">
        <v>479</v>
      </c>
      <c r="P14" s="632" t="s">
        <v>480</v>
      </c>
      <c r="Q14" s="593" t="s">
        <v>11</v>
      </c>
      <c r="R14" s="594" t="s">
        <v>12</v>
      </c>
      <c r="S14" s="594" t="s">
        <v>13</v>
      </c>
      <c r="T14" s="594" t="s">
        <v>14</v>
      </c>
      <c r="U14" s="594" t="s">
        <v>15</v>
      </c>
      <c r="V14" s="594" t="s">
        <v>16</v>
      </c>
      <c r="W14" s="594" t="s">
        <v>17</v>
      </c>
      <c r="X14" s="594" t="s">
        <v>18</v>
      </c>
      <c r="Y14" s="594" t="s">
        <v>19</v>
      </c>
      <c r="Z14" s="594" t="s">
        <v>20</v>
      </c>
      <c r="AA14" s="594" t="s">
        <v>21</v>
      </c>
      <c r="AB14" s="595" t="s">
        <v>22</v>
      </c>
      <c r="AC14" s="593" t="s">
        <v>11</v>
      </c>
      <c r="AD14" s="594" t="s">
        <v>12</v>
      </c>
      <c r="AE14" s="594" t="s">
        <v>13</v>
      </c>
      <c r="AF14" s="594" t="s">
        <v>14</v>
      </c>
      <c r="AG14" s="594" t="s">
        <v>15</v>
      </c>
      <c r="AH14" s="594" t="s">
        <v>16</v>
      </c>
      <c r="AI14" s="594" t="s">
        <v>17</v>
      </c>
      <c r="AJ14" s="594" t="s">
        <v>18</v>
      </c>
      <c r="AK14" s="594" t="s">
        <v>19</v>
      </c>
      <c r="AL14" s="594" t="s">
        <v>20</v>
      </c>
      <c r="AM14" s="594" t="s">
        <v>21</v>
      </c>
      <c r="AN14" s="595" t="s">
        <v>22</v>
      </c>
      <c r="AO14" s="1101" t="s">
        <v>487</v>
      </c>
      <c r="AP14" s="1102"/>
    </row>
    <row r="15" spans="2:42" ht="28.65" customHeight="1" x14ac:dyDescent="0.3">
      <c r="B15" s="634" t="s">
        <v>488</v>
      </c>
      <c r="C15" s="635" t="s">
        <v>489</v>
      </c>
      <c r="D15" s="636">
        <v>45658</v>
      </c>
      <c r="E15" s="636">
        <v>46752</v>
      </c>
      <c r="F15" s="637">
        <f t="shared" ref="F15:F93" si="0">ABS(+_xlfn.DAYS(D15,E15))</f>
        <v>1094</v>
      </c>
      <c r="G15" s="637" t="s">
        <v>490</v>
      </c>
      <c r="H15" s="637" t="s">
        <v>491</v>
      </c>
      <c r="I15" s="638">
        <f>+SUM(I16,I185)</f>
        <v>635485047.245</v>
      </c>
      <c r="J15" s="639">
        <f>+SUM(J16,J185)</f>
        <v>9702061.7899999991</v>
      </c>
      <c r="K15" s="640">
        <f>+K16+K185</f>
        <v>0</v>
      </c>
      <c r="L15" s="638">
        <f t="shared" ref="L15:AN15" si="1">+L16+L185</f>
        <v>0</v>
      </c>
      <c r="M15" s="638">
        <f t="shared" si="1"/>
        <v>0</v>
      </c>
      <c r="N15" s="638">
        <f t="shared" si="1"/>
        <v>0</v>
      </c>
      <c r="O15" s="638">
        <f t="shared" si="1"/>
        <v>0</v>
      </c>
      <c r="P15" s="639">
        <f t="shared" si="1"/>
        <v>0</v>
      </c>
      <c r="Q15" s="641">
        <f t="shared" si="1"/>
        <v>84020.742863022591</v>
      </c>
      <c r="R15" s="642">
        <f t="shared" si="1"/>
        <v>592239.47176778456</v>
      </c>
      <c r="S15" s="642">
        <f t="shared" si="1"/>
        <v>613061.12976778462</v>
      </c>
      <c r="T15" s="642">
        <f t="shared" si="1"/>
        <v>645439.47243445111</v>
      </c>
      <c r="U15" s="642">
        <f t="shared" si="1"/>
        <v>306780.7406090544</v>
      </c>
      <c r="V15" s="642">
        <f t="shared" si="1"/>
        <v>321114.07560905436</v>
      </c>
      <c r="W15" s="642">
        <f t="shared" si="1"/>
        <v>278530.74227572104</v>
      </c>
      <c r="X15" s="642">
        <f t="shared" si="1"/>
        <v>728597.40927572106</v>
      </c>
      <c r="Y15" s="642">
        <f t="shared" si="1"/>
        <v>306459.31370429246</v>
      </c>
      <c r="Z15" s="642">
        <f t="shared" si="1"/>
        <v>264792.64703762578</v>
      </c>
      <c r="AA15" s="642">
        <f t="shared" si="1"/>
        <v>188217.81503762578</v>
      </c>
      <c r="AB15" s="643">
        <f t="shared" si="1"/>
        <v>147006.93275191152</v>
      </c>
      <c r="AC15" s="641">
        <f t="shared" si="1"/>
        <v>999200.80513286393</v>
      </c>
      <c r="AD15" s="642">
        <f t="shared" si="1"/>
        <v>864239.44665667345</v>
      </c>
      <c r="AE15" s="642">
        <f t="shared" si="1"/>
        <v>476578.36265667342</v>
      </c>
      <c r="AF15" s="642">
        <f t="shared" si="1"/>
        <v>802745.02799000673</v>
      </c>
      <c r="AG15" s="642">
        <f t="shared" si="1"/>
        <v>497916.62865667342</v>
      </c>
      <c r="AH15" s="642">
        <f t="shared" si="1"/>
        <v>230325.06248020282</v>
      </c>
      <c r="AI15" s="642">
        <f t="shared" si="1"/>
        <v>536465.06248020288</v>
      </c>
      <c r="AJ15" s="642">
        <f t="shared" si="1"/>
        <v>406084.11009925039</v>
      </c>
      <c r="AK15" s="642">
        <f t="shared" si="1"/>
        <v>143101.96724210755</v>
      </c>
      <c r="AL15" s="642">
        <f t="shared" si="1"/>
        <v>113101.96724210757</v>
      </c>
      <c r="AM15" s="642">
        <f t="shared" si="1"/>
        <v>77519.624235571624</v>
      </c>
      <c r="AN15" s="643">
        <f t="shared" si="1"/>
        <v>78523.234235571625</v>
      </c>
      <c r="AO15" s="600" t="str">
        <f t="shared" ref="AO15:AO78" si="2">IF(SUM(K15:AN15)=J15,"Si","No")</f>
        <v>No</v>
      </c>
      <c r="AP15" s="643">
        <f>+SUM(Q15:AN15)</f>
        <v>9702061.7922419533</v>
      </c>
    </row>
    <row r="16" spans="2:42" ht="43.2" x14ac:dyDescent="0.3">
      <c r="B16" s="76" t="s">
        <v>492</v>
      </c>
      <c r="C16" s="18" t="s">
        <v>493</v>
      </c>
      <c r="D16" s="59">
        <v>45658</v>
      </c>
      <c r="E16" s="59">
        <v>46752</v>
      </c>
      <c r="F16" s="60">
        <f t="shared" si="0"/>
        <v>1094</v>
      </c>
      <c r="G16" s="60" t="s">
        <v>490</v>
      </c>
      <c r="H16" s="60" t="s">
        <v>491</v>
      </c>
      <c r="I16" s="61">
        <f>+SUM(I17,I130)</f>
        <v>473045047.245</v>
      </c>
      <c r="J16" s="543">
        <f>+SUM(J17,J130)</f>
        <v>7222061.79</v>
      </c>
      <c r="K16" s="619">
        <f t="shared" ref="K16:AN16" si="3">+SUM(K17,K130)</f>
        <v>0</v>
      </c>
      <c r="L16" s="61">
        <f t="shared" si="3"/>
        <v>0</v>
      </c>
      <c r="M16" s="61">
        <f t="shared" si="3"/>
        <v>0</v>
      </c>
      <c r="N16" s="61">
        <f t="shared" si="3"/>
        <v>0</v>
      </c>
      <c r="O16" s="61">
        <f t="shared" si="3"/>
        <v>0</v>
      </c>
      <c r="P16" s="543">
        <f t="shared" si="3"/>
        <v>0</v>
      </c>
      <c r="Q16" s="136">
        <f t="shared" si="3"/>
        <v>80687.409529689263</v>
      </c>
      <c r="R16" s="134">
        <f t="shared" si="3"/>
        <v>588906.13843445119</v>
      </c>
      <c r="S16" s="134">
        <f t="shared" si="3"/>
        <v>609727.79643445124</v>
      </c>
      <c r="T16" s="134">
        <f t="shared" si="3"/>
        <v>627820.42481540353</v>
      </c>
      <c r="U16" s="134">
        <f t="shared" si="3"/>
        <v>289161.69299000676</v>
      </c>
      <c r="V16" s="134">
        <f t="shared" si="3"/>
        <v>303495.02799000673</v>
      </c>
      <c r="W16" s="134">
        <f t="shared" si="3"/>
        <v>210495.02799000673</v>
      </c>
      <c r="X16" s="134">
        <f t="shared" si="3"/>
        <v>530561.69499000674</v>
      </c>
      <c r="Y16" s="134">
        <f t="shared" si="3"/>
        <v>243423.59941857817</v>
      </c>
      <c r="Z16" s="134">
        <f t="shared" si="3"/>
        <v>236756.93275191149</v>
      </c>
      <c r="AA16" s="134">
        <f t="shared" si="3"/>
        <v>174467.81503762578</v>
      </c>
      <c r="AB16" s="135">
        <f t="shared" si="3"/>
        <v>93256.932751911503</v>
      </c>
      <c r="AC16" s="136">
        <f>+SUM(AC17,AC130)</f>
        <v>456492.47179953055</v>
      </c>
      <c r="AD16" s="134">
        <f t="shared" si="3"/>
        <v>794864.44665667345</v>
      </c>
      <c r="AE16" s="134">
        <f t="shared" si="3"/>
        <v>307203.36265667342</v>
      </c>
      <c r="AF16" s="134">
        <f t="shared" si="3"/>
        <v>338370.02799000673</v>
      </c>
      <c r="AG16" s="134">
        <f t="shared" si="3"/>
        <v>287291.62865667342</v>
      </c>
      <c r="AH16" s="134">
        <f t="shared" si="3"/>
        <v>204700.06248020282</v>
      </c>
      <c r="AI16" s="134">
        <f t="shared" si="3"/>
        <v>165840.06248020282</v>
      </c>
      <c r="AJ16" s="134">
        <f t="shared" si="3"/>
        <v>387125.77676591708</v>
      </c>
      <c r="AK16" s="134">
        <f t="shared" si="3"/>
        <v>79143.633908774238</v>
      </c>
      <c r="AL16" s="134">
        <f t="shared" si="3"/>
        <v>94143.633908774238</v>
      </c>
      <c r="AM16" s="134">
        <f t="shared" si="3"/>
        <v>58561.290902238296</v>
      </c>
      <c r="AN16" s="135">
        <f t="shared" si="3"/>
        <v>59564.900902238296</v>
      </c>
      <c r="AO16" s="829" t="str">
        <f t="shared" si="2"/>
        <v>No</v>
      </c>
      <c r="AP16" s="135">
        <f t="shared" ref="AP16:AP79" si="4">+SUM(Q16:AN16)</f>
        <v>7222061.7922419561</v>
      </c>
    </row>
    <row r="17" spans="2:42" ht="28.8" x14ac:dyDescent="0.3">
      <c r="B17" s="27" t="s">
        <v>494</v>
      </c>
      <c r="C17" s="518" t="s">
        <v>495</v>
      </c>
      <c r="D17" s="53">
        <v>45839</v>
      </c>
      <c r="E17" s="53">
        <v>46752</v>
      </c>
      <c r="F17" s="37">
        <f>ABS(+_xlfn.DAYS(D17,E17))</f>
        <v>913</v>
      </c>
      <c r="G17" s="37" t="s">
        <v>490</v>
      </c>
      <c r="H17" s="37" t="s">
        <v>491</v>
      </c>
      <c r="I17" s="393">
        <f>+SUM(I19,I23,I27,I33,I39,I44,I103,I119,I129,I46,I48)</f>
        <v>261143902.55500001</v>
      </c>
      <c r="J17" s="31">
        <f>+SUM(J19,J23,J27,J33,J39,J44,J103,J119,J129,J46,J48)</f>
        <v>3986929.81</v>
      </c>
      <c r="K17" s="620">
        <f>+SUM(K19,K23,K27,K33,K39,K44,K103,K119,K129,K46,K48)</f>
        <v>0</v>
      </c>
      <c r="L17" s="62">
        <f t="shared" ref="L17:AN17" si="5">+SUM(L19,L23,L27,L33,L39,L44,L103,L119,L129,L46,L48)</f>
        <v>0</v>
      </c>
      <c r="M17" s="62">
        <f t="shared" si="5"/>
        <v>0</v>
      </c>
      <c r="N17" s="62">
        <f t="shared" si="5"/>
        <v>0</v>
      </c>
      <c r="O17" s="62">
        <f t="shared" si="5"/>
        <v>0</v>
      </c>
      <c r="P17" s="31">
        <f t="shared" si="5"/>
        <v>0</v>
      </c>
      <c r="Q17" s="82">
        <f t="shared" si="5"/>
        <v>69224.347568904952</v>
      </c>
      <c r="R17" s="62">
        <f t="shared" si="5"/>
        <v>491793.24856890499</v>
      </c>
      <c r="S17" s="62">
        <f t="shared" si="5"/>
        <v>533914.90656890499</v>
      </c>
      <c r="T17" s="62">
        <f t="shared" si="5"/>
        <v>484626.58256890497</v>
      </c>
      <c r="U17" s="62">
        <f t="shared" si="5"/>
        <v>151293.24756890498</v>
      </c>
      <c r="V17" s="62">
        <f t="shared" si="5"/>
        <v>97126.582568904967</v>
      </c>
      <c r="W17" s="62">
        <f t="shared" si="5"/>
        <v>67626.582568904967</v>
      </c>
      <c r="X17" s="62">
        <f t="shared" si="5"/>
        <v>283793.24956890498</v>
      </c>
      <c r="Y17" s="62">
        <f t="shared" si="5"/>
        <v>60126.58256890496</v>
      </c>
      <c r="Z17" s="62">
        <f t="shared" si="5"/>
        <v>58126.58256890496</v>
      </c>
      <c r="AA17" s="62">
        <f t="shared" si="5"/>
        <v>62251.750568904958</v>
      </c>
      <c r="AB17" s="31">
        <f t="shared" si="5"/>
        <v>57126.58256890496</v>
      </c>
      <c r="AC17" s="82">
        <f t="shared" si="5"/>
        <v>69939.502568904965</v>
      </c>
      <c r="AD17" s="62">
        <f t="shared" si="5"/>
        <v>569814.33456890495</v>
      </c>
      <c r="AE17" s="62">
        <f t="shared" si="5"/>
        <v>74793.250568904958</v>
      </c>
      <c r="AF17" s="62">
        <f t="shared" si="5"/>
        <v>69626.582568904967</v>
      </c>
      <c r="AG17" s="62">
        <f t="shared" si="5"/>
        <v>89626.582568904967</v>
      </c>
      <c r="AH17" s="62">
        <f t="shared" si="5"/>
        <v>92727.957568904967</v>
      </c>
      <c r="AI17" s="62">
        <f t="shared" si="5"/>
        <v>50227.95756890496</v>
      </c>
      <c r="AJ17" s="62">
        <f t="shared" si="5"/>
        <v>350227.95756890497</v>
      </c>
      <c r="AK17" s="62">
        <f t="shared" si="5"/>
        <v>50227.95756890496</v>
      </c>
      <c r="AL17" s="62">
        <f t="shared" si="5"/>
        <v>51227.95756890496</v>
      </c>
      <c r="AM17" s="62">
        <f t="shared" si="5"/>
        <v>50227.95756890496</v>
      </c>
      <c r="AN17" s="31">
        <f t="shared" si="5"/>
        <v>51231.56756890496</v>
      </c>
      <c r="AO17" s="830" t="str">
        <f t="shared" si="2"/>
        <v>No</v>
      </c>
      <c r="AP17" s="31">
        <f t="shared" si="4"/>
        <v>3986929.811653717</v>
      </c>
    </row>
    <row r="18" spans="2:42" hidden="1" x14ac:dyDescent="0.3">
      <c r="B18" s="28" t="s">
        <v>4</v>
      </c>
      <c r="C18" s="16" t="s">
        <v>496</v>
      </c>
      <c r="D18" s="54"/>
      <c r="E18" s="54"/>
      <c r="F18" s="38">
        <f t="shared" si="0"/>
        <v>0</v>
      </c>
      <c r="G18" s="38"/>
      <c r="H18" s="38"/>
      <c r="I18" s="63"/>
      <c r="J18" s="568">
        <f t="shared" ref="J18:J90" si="6">+I18/$J$13</f>
        <v>0</v>
      </c>
      <c r="K18" s="621"/>
      <c r="L18" s="63"/>
      <c r="M18" s="63"/>
      <c r="N18" s="63"/>
      <c r="O18" s="63"/>
      <c r="P18" s="568"/>
      <c r="Q18" s="22"/>
      <c r="R18" s="16"/>
      <c r="S18" s="16"/>
      <c r="T18" s="16"/>
      <c r="U18" s="16"/>
      <c r="V18" s="16"/>
      <c r="W18" s="16"/>
      <c r="X18" s="16"/>
      <c r="Y18" s="16"/>
      <c r="Z18" s="16"/>
      <c r="AA18" s="16"/>
      <c r="AB18" s="23"/>
      <c r="AC18" s="22"/>
      <c r="AD18" s="16"/>
      <c r="AE18" s="16"/>
      <c r="AF18" s="16"/>
      <c r="AG18" s="16"/>
      <c r="AH18" s="16"/>
      <c r="AI18" s="16"/>
      <c r="AJ18" s="16"/>
      <c r="AK18" s="16"/>
      <c r="AL18" s="16"/>
      <c r="AM18" s="16"/>
      <c r="AN18" s="23"/>
      <c r="AO18" s="831" t="str">
        <f t="shared" si="2"/>
        <v>Si</v>
      </c>
      <c r="AP18" s="23">
        <f t="shared" si="4"/>
        <v>0</v>
      </c>
    </row>
    <row r="19" spans="2:42" ht="43.2" x14ac:dyDescent="0.3">
      <c r="B19" s="29" t="s">
        <v>4</v>
      </c>
      <c r="C19" s="19" t="s">
        <v>5</v>
      </c>
      <c r="D19" s="55">
        <f>+D20</f>
        <v>46023</v>
      </c>
      <c r="E19" s="55">
        <f>+E21</f>
        <v>46568</v>
      </c>
      <c r="F19" s="39">
        <f t="shared" si="0"/>
        <v>545</v>
      </c>
      <c r="G19" s="55" t="str">
        <f>+G20</f>
        <v>INICIO</v>
      </c>
      <c r="H19" s="55" t="str">
        <f>+H21</f>
        <v>FIN</v>
      </c>
      <c r="I19" s="64">
        <f>+SUM(I20:I22)</f>
        <v>2292500</v>
      </c>
      <c r="J19" s="32">
        <f>+I19/$J$13</f>
        <v>35000</v>
      </c>
      <c r="K19" s="564">
        <f>+SUM(K20:K21)</f>
        <v>0</v>
      </c>
      <c r="L19" s="64">
        <f t="shared" ref="L19:O19" si="7">+SUM(L20:L21)</f>
        <v>0</v>
      </c>
      <c r="M19" s="64">
        <f t="shared" si="7"/>
        <v>0</v>
      </c>
      <c r="N19" s="64">
        <f t="shared" si="7"/>
        <v>0</v>
      </c>
      <c r="O19" s="64">
        <f t="shared" si="7"/>
        <v>0</v>
      </c>
      <c r="P19" s="32"/>
      <c r="Q19" s="83">
        <f>+SUM(Q20:Q22)</f>
        <v>0</v>
      </c>
      <c r="R19" s="64">
        <f t="shared" ref="R19:AN19" si="8">+SUM(R20:R22)</f>
        <v>0</v>
      </c>
      <c r="S19" s="64">
        <f t="shared" si="8"/>
        <v>7000</v>
      </c>
      <c r="T19" s="64">
        <f t="shared" si="8"/>
        <v>0</v>
      </c>
      <c r="U19" s="64">
        <f t="shared" si="8"/>
        <v>17500</v>
      </c>
      <c r="V19" s="64">
        <f t="shared" si="8"/>
        <v>0</v>
      </c>
      <c r="W19" s="64">
        <f t="shared" si="8"/>
        <v>10500</v>
      </c>
      <c r="X19" s="64">
        <f t="shared" si="8"/>
        <v>0</v>
      </c>
      <c r="Y19" s="64">
        <f t="shared" si="8"/>
        <v>0</v>
      </c>
      <c r="Z19" s="64">
        <f t="shared" si="8"/>
        <v>0</v>
      </c>
      <c r="AA19" s="64">
        <f t="shared" si="8"/>
        <v>0</v>
      </c>
      <c r="AB19" s="32">
        <f t="shared" si="8"/>
        <v>0</v>
      </c>
      <c r="AC19" s="83">
        <f t="shared" si="8"/>
        <v>0</v>
      </c>
      <c r="AD19" s="64">
        <f t="shared" si="8"/>
        <v>0</v>
      </c>
      <c r="AE19" s="64">
        <f t="shared" si="8"/>
        <v>0</v>
      </c>
      <c r="AF19" s="64">
        <f t="shared" si="8"/>
        <v>0</v>
      </c>
      <c r="AG19" s="64">
        <f t="shared" si="8"/>
        <v>0</v>
      </c>
      <c r="AH19" s="64">
        <f t="shared" si="8"/>
        <v>0</v>
      </c>
      <c r="AI19" s="64">
        <f t="shared" si="8"/>
        <v>0</v>
      </c>
      <c r="AJ19" s="64">
        <f t="shared" si="8"/>
        <v>0</v>
      </c>
      <c r="AK19" s="64">
        <f t="shared" si="8"/>
        <v>0</v>
      </c>
      <c r="AL19" s="64">
        <f t="shared" si="8"/>
        <v>0</v>
      </c>
      <c r="AM19" s="64">
        <f t="shared" si="8"/>
        <v>0</v>
      </c>
      <c r="AN19" s="32">
        <f t="shared" si="8"/>
        <v>0</v>
      </c>
      <c r="AO19" s="832" t="str">
        <f t="shared" si="2"/>
        <v>Si</v>
      </c>
      <c r="AP19" s="32">
        <f t="shared" si="4"/>
        <v>35000</v>
      </c>
    </row>
    <row r="20" spans="2:42" ht="43.2" x14ac:dyDescent="0.3">
      <c r="B20" s="30" t="s">
        <v>497</v>
      </c>
      <c r="C20" s="2" t="s">
        <v>498</v>
      </c>
      <c r="D20" s="42">
        <v>46023</v>
      </c>
      <c r="E20" s="42">
        <v>46598</v>
      </c>
      <c r="F20" s="40">
        <f t="shared" si="0"/>
        <v>575</v>
      </c>
      <c r="G20" s="42" t="s">
        <v>490</v>
      </c>
      <c r="H20" s="56" t="s">
        <v>499</v>
      </c>
      <c r="I20" s="65">
        <v>0</v>
      </c>
      <c r="J20" s="33">
        <f t="shared" si="6"/>
        <v>0</v>
      </c>
      <c r="K20" s="622">
        <v>0</v>
      </c>
      <c r="L20" s="65">
        <v>0</v>
      </c>
      <c r="M20" s="65">
        <v>0</v>
      </c>
      <c r="N20" s="65">
        <v>0</v>
      </c>
      <c r="O20" s="65">
        <v>0</v>
      </c>
      <c r="P20" s="33">
        <v>0</v>
      </c>
      <c r="Q20" s="84">
        <v>0</v>
      </c>
      <c r="R20" s="65">
        <v>0</v>
      </c>
      <c r="S20" s="65">
        <v>0</v>
      </c>
      <c r="T20" s="65">
        <v>0</v>
      </c>
      <c r="U20" s="65">
        <v>0</v>
      </c>
      <c r="V20" s="65">
        <v>0</v>
      </c>
      <c r="W20" s="65">
        <v>0</v>
      </c>
      <c r="X20" s="65">
        <v>0</v>
      </c>
      <c r="Y20" s="65">
        <v>0</v>
      </c>
      <c r="Z20" s="65">
        <v>0</v>
      </c>
      <c r="AA20" s="65">
        <v>0</v>
      </c>
      <c r="AB20" s="33">
        <v>0</v>
      </c>
      <c r="AC20" s="84">
        <v>0</v>
      </c>
      <c r="AD20" s="65">
        <v>0</v>
      </c>
      <c r="AE20" s="65">
        <v>0</v>
      </c>
      <c r="AF20" s="65">
        <v>0</v>
      </c>
      <c r="AG20" s="65">
        <v>0</v>
      </c>
      <c r="AH20" s="65">
        <v>0</v>
      </c>
      <c r="AI20" s="65">
        <v>0</v>
      </c>
      <c r="AJ20" s="65">
        <v>0</v>
      </c>
      <c r="AK20" s="65">
        <v>0</v>
      </c>
      <c r="AL20" s="65">
        <v>0</v>
      </c>
      <c r="AM20" s="65">
        <v>0</v>
      </c>
      <c r="AN20" s="33">
        <v>0</v>
      </c>
      <c r="AO20" s="833" t="str">
        <f t="shared" si="2"/>
        <v>Si</v>
      </c>
      <c r="AP20" s="33">
        <f t="shared" si="4"/>
        <v>0</v>
      </c>
    </row>
    <row r="21" spans="2:42" x14ac:dyDescent="0.3">
      <c r="B21" s="30" t="s">
        <v>1384</v>
      </c>
      <c r="C21" s="2" t="s">
        <v>501</v>
      </c>
      <c r="D21" s="42">
        <v>46023</v>
      </c>
      <c r="E21" s="42">
        <v>46568</v>
      </c>
      <c r="F21" s="40">
        <f t="shared" si="0"/>
        <v>545</v>
      </c>
      <c r="G21" s="42" t="s">
        <v>490</v>
      </c>
      <c r="H21" s="42" t="s">
        <v>491</v>
      </c>
      <c r="I21" s="65">
        <v>0</v>
      </c>
      <c r="J21" s="33">
        <f t="shared" si="6"/>
        <v>0</v>
      </c>
      <c r="K21" s="622">
        <v>0</v>
      </c>
      <c r="L21" s="65">
        <v>0</v>
      </c>
      <c r="M21" s="65">
        <v>0</v>
      </c>
      <c r="N21" s="65">
        <v>0</v>
      </c>
      <c r="O21" s="65">
        <v>0</v>
      </c>
      <c r="P21" s="33">
        <v>0</v>
      </c>
      <c r="Q21" s="84">
        <v>0</v>
      </c>
      <c r="R21" s="65">
        <v>0</v>
      </c>
      <c r="S21" s="65">
        <v>0</v>
      </c>
      <c r="T21" s="65">
        <v>0</v>
      </c>
      <c r="U21" s="65">
        <v>0</v>
      </c>
      <c r="V21" s="65">
        <v>0</v>
      </c>
      <c r="W21" s="65">
        <v>0</v>
      </c>
      <c r="X21" s="65">
        <v>0</v>
      </c>
      <c r="Y21" s="65">
        <v>0</v>
      </c>
      <c r="Z21" s="65">
        <v>0</v>
      </c>
      <c r="AA21" s="65">
        <v>0</v>
      </c>
      <c r="AB21" s="33">
        <v>0</v>
      </c>
      <c r="AC21" s="84">
        <v>0</v>
      </c>
      <c r="AD21" s="65">
        <v>0</v>
      </c>
      <c r="AE21" s="65">
        <v>0</v>
      </c>
      <c r="AF21" s="65">
        <v>0</v>
      </c>
      <c r="AG21" s="65">
        <v>0</v>
      </c>
      <c r="AH21" s="65">
        <v>0</v>
      </c>
      <c r="AI21" s="65">
        <v>0</v>
      </c>
      <c r="AJ21" s="65">
        <v>0</v>
      </c>
      <c r="AK21" s="65">
        <v>0</v>
      </c>
      <c r="AL21" s="65">
        <v>0</v>
      </c>
      <c r="AM21" s="65">
        <v>0</v>
      </c>
      <c r="AN21" s="33">
        <v>0</v>
      </c>
      <c r="AO21" s="833" t="str">
        <f t="shared" si="2"/>
        <v>Si</v>
      </c>
      <c r="AP21" s="33">
        <f t="shared" si="4"/>
        <v>0</v>
      </c>
    </row>
    <row r="22" spans="2:42" ht="57.6" x14ac:dyDescent="0.3">
      <c r="B22" s="30" t="s">
        <v>1383</v>
      </c>
      <c r="C22" s="2" t="s">
        <v>1385</v>
      </c>
      <c r="D22" s="42">
        <v>46082</v>
      </c>
      <c r="E22" s="42">
        <v>46233</v>
      </c>
      <c r="F22" s="40">
        <f t="shared" si="0"/>
        <v>151</v>
      </c>
      <c r="G22" s="56" t="s">
        <v>1500</v>
      </c>
      <c r="H22" s="42" t="s">
        <v>491</v>
      </c>
      <c r="I22" s="65">
        <f>35000*65.5</f>
        <v>2292500</v>
      </c>
      <c r="J22" s="33">
        <v>35000</v>
      </c>
      <c r="K22" s="622"/>
      <c r="L22" s="65"/>
      <c r="M22" s="65"/>
      <c r="N22" s="65"/>
      <c r="O22" s="65"/>
      <c r="P22" s="33"/>
      <c r="Q22" s="84">
        <v>0</v>
      </c>
      <c r="R22" s="65">
        <v>0</v>
      </c>
      <c r="S22" s="65">
        <v>7000</v>
      </c>
      <c r="T22" s="65">
        <v>0</v>
      </c>
      <c r="U22" s="65">
        <v>17500</v>
      </c>
      <c r="V22" s="65">
        <v>0</v>
      </c>
      <c r="W22" s="65">
        <v>10500</v>
      </c>
      <c r="X22" s="65">
        <v>0</v>
      </c>
      <c r="Y22" s="65">
        <v>0</v>
      </c>
      <c r="Z22" s="65">
        <v>0</v>
      </c>
      <c r="AA22" s="65">
        <v>0</v>
      </c>
      <c r="AB22" s="33">
        <v>0</v>
      </c>
      <c r="AC22" s="84">
        <v>0</v>
      </c>
      <c r="AD22" s="65">
        <v>0</v>
      </c>
      <c r="AE22" s="65">
        <v>0</v>
      </c>
      <c r="AF22" s="65">
        <v>0</v>
      </c>
      <c r="AG22" s="65">
        <v>0</v>
      </c>
      <c r="AH22" s="65" t="s">
        <v>1499</v>
      </c>
      <c r="AI22" s="65">
        <v>0</v>
      </c>
      <c r="AJ22" s="65">
        <v>0</v>
      </c>
      <c r="AK22" s="65">
        <v>0</v>
      </c>
      <c r="AL22" s="65">
        <v>0</v>
      </c>
      <c r="AM22" s="65">
        <v>0</v>
      </c>
      <c r="AN22" s="33">
        <v>0</v>
      </c>
      <c r="AO22" s="833" t="str">
        <f t="shared" si="2"/>
        <v>Si</v>
      </c>
      <c r="AP22" s="33">
        <f t="shared" si="4"/>
        <v>35000</v>
      </c>
    </row>
    <row r="23" spans="2:42" x14ac:dyDescent="0.3">
      <c r="B23" s="29" t="s">
        <v>502</v>
      </c>
      <c r="C23" s="19" t="s">
        <v>503</v>
      </c>
      <c r="D23" s="55">
        <f>+D24</f>
        <v>46023</v>
      </c>
      <c r="E23" s="55">
        <f>+E26</f>
        <v>46568</v>
      </c>
      <c r="F23" s="39">
        <f t="shared" si="0"/>
        <v>545</v>
      </c>
      <c r="G23" s="39" t="str">
        <f>+B19</f>
        <v>1.1.1.</v>
      </c>
      <c r="H23" s="39" t="str">
        <f>+H26</f>
        <v>FIN</v>
      </c>
      <c r="I23" s="64">
        <f>+SUM(I24:I26)</f>
        <v>0</v>
      </c>
      <c r="J23" s="32">
        <f>+I23/$J$13</f>
        <v>0</v>
      </c>
      <c r="K23" s="564">
        <f>+SUM(K24:K26)</f>
        <v>0</v>
      </c>
      <c r="L23" s="64">
        <f t="shared" ref="L23:AN23" si="9">+SUM(L24:L26)</f>
        <v>0</v>
      </c>
      <c r="M23" s="64">
        <f t="shared" si="9"/>
        <v>0</v>
      </c>
      <c r="N23" s="64">
        <f t="shared" si="9"/>
        <v>0</v>
      </c>
      <c r="O23" s="64">
        <f t="shared" si="9"/>
        <v>0</v>
      </c>
      <c r="P23" s="32">
        <f t="shared" si="9"/>
        <v>0</v>
      </c>
      <c r="Q23" s="83">
        <f t="shared" si="9"/>
        <v>0</v>
      </c>
      <c r="R23" s="64">
        <f t="shared" si="9"/>
        <v>0</v>
      </c>
      <c r="S23" s="64">
        <f t="shared" si="9"/>
        <v>0</v>
      </c>
      <c r="T23" s="64">
        <f t="shared" si="9"/>
        <v>0</v>
      </c>
      <c r="U23" s="64">
        <f t="shared" si="9"/>
        <v>0</v>
      </c>
      <c r="V23" s="64">
        <f t="shared" si="9"/>
        <v>0</v>
      </c>
      <c r="W23" s="64">
        <f t="shared" si="9"/>
        <v>0</v>
      </c>
      <c r="X23" s="64">
        <f t="shared" si="9"/>
        <v>0</v>
      </c>
      <c r="Y23" s="64">
        <f t="shared" si="9"/>
        <v>0</v>
      </c>
      <c r="Z23" s="64">
        <f t="shared" si="9"/>
        <v>0</v>
      </c>
      <c r="AA23" s="64">
        <f t="shared" si="9"/>
        <v>0</v>
      </c>
      <c r="AB23" s="32">
        <f t="shared" si="9"/>
        <v>0</v>
      </c>
      <c r="AC23" s="83">
        <f t="shared" si="9"/>
        <v>0</v>
      </c>
      <c r="AD23" s="64">
        <f t="shared" si="9"/>
        <v>0</v>
      </c>
      <c r="AE23" s="64">
        <f t="shared" si="9"/>
        <v>0</v>
      </c>
      <c r="AF23" s="64">
        <f t="shared" si="9"/>
        <v>0</v>
      </c>
      <c r="AG23" s="64">
        <f t="shared" si="9"/>
        <v>0</v>
      </c>
      <c r="AH23" s="64">
        <f t="shared" si="9"/>
        <v>0</v>
      </c>
      <c r="AI23" s="64">
        <f t="shared" si="9"/>
        <v>0</v>
      </c>
      <c r="AJ23" s="64">
        <f t="shared" si="9"/>
        <v>0</v>
      </c>
      <c r="AK23" s="64">
        <f t="shared" si="9"/>
        <v>0</v>
      </c>
      <c r="AL23" s="64">
        <f t="shared" si="9"/>
        <v>0</v>
      </c>
      <c r="AM23" s="64">
        <f t="shared" si="9"/>
        <v>0</v>
      </c>
      <c r="AN23" s="32">
        <f t="shared" si="9"/>
        <v>0</v>
      </c>
      <c r="AO23" s="832" t="str">
        <f t="shared" si="2"/>
        <v>Si</v>
      </c>
      <c r="AP23" s="32">
        <f t="shared" si="4"/>
        <v>0</v>
      </c>
    </row>
    <row r="24" spans="2:42" ht="28.8" x14ac:dyDescent="0.3">
      <c r="B24" s="30" t="s">
        <v>504</v>
      </c>
      <c r="C24" s="2" t="s">
        <v>505</v>
      </c>
      <c r="D24" s="42">
        <v>46023</v>
      </c>
      <c r="E24" s="42">
        <v>46598</v>
      </c>
      <c r="F24" s="40">
        <f t="shared" si="0"/>
        <v>575</v>
      </c>
      <c r="G24" s="40" t="str">
        <f>+B20</f>
        <v>1.1.1.1</v>
      </c>
      <c r="H24" s="40" t="str">
        <f>+B25</f>
        <v>1.1.2.2</v>
      </c>
      <c r="I24" s="65">
        <v>0</v>
      </c>
      <c r="J24" s="33">
        <f t="shared" si="6"/>
        <v>0</v>
      </c>
      <c r="K24" s="622">
        <v>0</v>
      </c>
      <c r="L24" s="65">
        <v>0</v>
      </c>
      <c r="M24" s="65">
        <v>0</v>
      </c>
      <c r="N24" s="65">
        <v>0</v>
      </c>
      <c r="O24" s="65">
        <v>0</v>
      </c>
      <c r="P24" s="33">
        <v>0</v>
      </c>
      <c r="Q24" s="84">
        <v>0</v>
      </c>
      <c r="R24" s="65">
        <v>0</v>
      </c>
      <c r="S24" s="65">
        <v>0</v>
      </c>
      <c r="T24" s="65">
        <v>0</v>
      </c>
      <c r="U24" s="65">
        <v>0</v>
      </c>
      <c r="V24" s="65">
        <v>0</v>
      </c>
      <c r="W24" s="65">
        <v>0</v>
      </c>
      <c r="X24" s="65">
        <v>0</v>
      </c>
      <c r="Y24" s="65">
        <v>0</v>
      </c>
      <c r="Z24" s="65">
        <v>0</v>
      </c>
      <c r="AA24" s="65">
        <v>0</v>
      </c>
      <c r="AB24" s="33">
        <v>0</v>
      </c>
      <c r="AC24" s="84">
        <v>0</v>
      </c>
      <c r="AD24" s="65">
        <v>0</v>
      </c>
      <c r="AE24" s="65">
        <v>0</v>
      </c>
      <c r="AF24" s="65">
        <v>0</v>
      </c>
      <c r="AG24" s="65">
        <v>0</v>
      </c>
      <c r="AH24" s="65">
        <v>0</v>
      </c>
      <c r="AI24" s="65">
        <v>0</v>
      </c>
      <c r="AJ24" s="65">
        <v>0</v>
      </c>
      <c r="AK24" s="65">
        <v>0</v>
      </c>
      <c r="AL24" s="65">
        <v>0</v>
      </c>
      <c r="AM24" s="65">
        <v>0</v>
      </c>
      <c r="AN24" s="33">
        <v>0</v>
      </c>
      <c r="AO24" s="833" t="str">
        <f t="shared" si="2"/>
        <v>Si</v>
      </c>
      <c r="AP24" s="33">
        <f t="shared" si="4"/>
        <v>0</v>
      </c>
    </row>
    <row r="25" spans="2:42" ht="45.75" customHeight="1" x14ac:dyDescent="0.3">
      <c r="B25" s="30" t="s">
        <v>506</v>
      </c>
      <c r="C25" s="2" t="s">
        <v>507</v>
      </c>
      <c r="D25" s="42">
        <v>46023</v>
      </c>
      <c r="E25" s="42">
        <v>46568</v>
      </c>
      <c r="F25" s="40">
        <f t="shared" si="0"/>
        <v>545</v>
      </c>
      <c r="G25" s="40" t="str">
        <f>+B24</f>
        <v>1.1.2.1</v>
      </c>
      <c r="H25" s="40" t="s">
        <v>491</v>
      </c>
      <c r="I25" s="65">
        <v>0</v>
      </c>
      <c r="J25" s="33">
        <f t="shared" si="6"/>
        <v>0</v>
      </c>
      <c r="K25" s="622">
        <v>0</v>
      </c>
      <c r="L25" s="65">
        <v>0</v>
      </c>
      <c r="M25" s="65">
        <v>0</v>
      </c>
      <c r="N25" s="65">
        <v>0</v>
      </c>
      <c r="O25" s="65">
        <v>0</v>
      </c>
      <c r="P25" s="33">
        <v>0</v>
      </c>
      <c r="Q25" s="84">
        <v>0</v>
      </c>
      <c r="R25" s="65">
        <v>0</v>
      </c>
      <c r="S25" s="65">
        <v>0</v>
      </c>
      <c r="T25" s="65">
        <v>0</v>
      </c>
      <c r="U25" s="65">
        <v>0</v>
      </c>
      <c r="V25" s="65">
        <v>0</v>
      </c>
      <c r="W25" s="65">
        <v>0</v>
      </c>
      <c r="X25" s="65">
        <v>0</v>
      </c>
      <c r="Y25" s="65">
        <v>0</v>
      </c>
      <c r="Z25" s="65">
        <v>0</v>
      </c>
      <c r="AA25" s="65">
        <v>0</v>
      </c>
      <c r="AB25" s="33">
        <v>0</v>
      </c>
      <c r="AC25" s="84">
        <v>0</v>
      </c>
      <c r="AD25" s="65">
        <v>0</v>
      </c>
      <c r="AE25" s="65">
        <v>0</v>
      </c>
      <c r="AF25" s="65">
        <v>0</v>
      </c>
      <c r="AG25" s="65">
        <v>0</v>
      </c>
      <c r="AH25" s="65">
        <v>0</v>
      </c>
      <c r="AI25" s="65">
        <v>0</v>
      </c>
      <c r="AJ25" s="65">
        <v>0</v>
      </c>
      <c r="AK25" s="65">
        <v>0</v>
      </c>
      <c r="AL25" s="65">
        <v>0</v>
      </c>
      <c r="AM25" s="65">
        <v>0</v>
      </c>
      <c r="AN25" s="33">
        <v>0</v>
      </c>
      <c r="AO25" s="833" t="str">
        <f t="shared" si="2"/>
        <v>Si</v>
      </c>
      <c r="AP25" s="33">
        <f t="shared" si="4"/>
        <v>0</v>
      </c>
    </row>
    <row r="26" spans="2:42" ht="28.8" x14ac:dyDescent="0.3">
      <c r="B26" s="30" t="s">
        <v>508</v>
      </c>
      <c r="C26" s="2" t="s">
        <v>509</v>
      </c>
      <c r="D26" s="42">
        <v>46023</v>
      </c>
      <c r="E26" s="42">
        <v>46568</v>
      </c>
      <c r="F26" s="40">
        <f t="shared" si="0"/>
        <v>545</v>
      </c>
      <c r="G26" s="40" t="s">
        <v>490</v>
      </c>
      <c r="H26" s="40" t="s">
        <v>491</v>
      </c>
      <c r="I26" s="65">
        <v>0</v>
      </c>
      <c r="J26" s="33">
        <f t="shared" si="6"/>
        <v>0</v>
      </c>
      <c r="K26" s="622">
        <v>0</v>
      </c>
      <c r="L26" s="65">
        <v>0</v>
      </c>
      <c r="M26" s="65">
        <v>0</v>
      </c>
      <c r="N26" s="65">
        <v>0</v>
      </c>
      <c r="O26" s="65">
        <v>0</v>
      </c>
      <c r="P26" s="33">
        <v>0</v>
      </c>
      <c r="Q26" s="84">
        <v>0</v>
      </c>
      <c r="R26" s="65">
        <v>0</v>
      </c>
      <c r="S26" s="65">
        <v>0</v>
      </c>
      <c r="T26" s="65">
        <v>0</v>
      </c>
      <c r="U26" s="65">
        <v>0</v>
      </c>
      <c r="V26" s="65">
        <v>0</v>
      </c>
      <c r="W26" s="65">
        <v>0</v>
      </c>
      <c r="X26" s="65">
        <v>0</v>
      </c>
      <c r="Y26" s="65">
        <v>0</v>
      </c>
      <c r="Z26" s="65">
        <v>0</v>
      </c>
      <c r="AA26" s="65">
        <v>0</v>
      </c>
      <c r="AB26" s="33">
        <v>0</v>
      </c>
      <c r="AC26" s="84">
        <v>0</v>
      </c>
      <c r="AD26" s="65">
        <v>0</v>
      </c>
      <c r="AE26" s="65">
        <v>0</v>
      </c>
      <c r="AF26" s="65">
        <v>0</v>
      </c>
      <c r="AG26" s="65">
        <v>0</v>
      </c>
      <c r="AH26" s="65">
        <v>0</v>
      </c>
      <c r="AI26" s="65">
        <v>0</v>
      </c>
      <c r="AJ26" s="65">
        <v>0</v>
      </c>
      <c r="AK26" s="65">
        <v>0</v>
      </c>
      <c r="AL26" s="65">
        <v>0</v>
      </c>
      <c r="AM26" s="65">
        <v>0</v>
      </c>
      <c r="AN26" s="33">
        <v>0</v>
      </c>
      <c r="AO26" s="833" t="str">
        <f t="shared" si="2"/>
        <v>Si</v>
      </c>
      <c r="AP26" s="33">
        <f t="shared" si="4"/>
        <v>0</v>
      </c>
    </row>
    <row r="27" spans="2:42" x14ac:dyDescent="0.3">
      <c r="B27" s="29" t="s">
        <v>510</v>
      </c>
      <c r="C27" s="19" t="s">
        <v>511</v>
      </c>
      <c r="D27" s="55">
        <v>46023</v>
      </c>
      <c r="E27" s="55">
        <v>46387</v>
      </c>
      <c r="F27" s="39">
        <f t="shared" si="0"/>
        <v>364</v>
      </c>
      <c r="G27" s="39" t="str">
        <f>+B20</f>
        <v>1.1.1.1</v>
      </c>
      <c r="H27" s="39" t="str">
        <f>+H32</f>
        <v>FIN</v>
      </c>
      <c r="I27" s="64">
        <f>+SUM(I28:I32)</f>
        <v>0</v>
      </c>
      <c r="J27" s="32">
        <f>+I27/J13</f>
        <v>0</v>
      </c>
      <c r="K27" s="564">
        <f>+SUM(K28:K32)</f>
        <v>0</v>
      </c>
      <c r="L27" s="64">
        <f t="shared" ref="L27:AN27" si="10">+SUM(L28:L32)</f>
        <v>0</v>
      </c>
      <c r="M27" s="64">
        <f t="shared" si="10"/>
        <v>0</v>
      </c>
      <c r="N27" s="64">
        <f t="shared" si="10"/>
        <v>0</v>
      </c>
      <c r="O27" s="64">
        <f t="shared" si="10"/>
        <v>0</v>
      </c>
      <c r="P27" s="32">
        <f t="shared" si="10"/>
        <v>0</v>
      </c>
      <c r="Q27" s="83">
        <f t="shared" si="10"/>
        <v>0</v>
      </c>
      <c r="R27" s="64">
        <v>0</v>
      </c>
      <c r="S27" s="64">
        <f t="shared" si="10"/>
        <v>0</v>
      </c>
      <c r="T27" s="64">
        <f t="shared" si="10"/>
        <v>0</v>
      </c>
      <c r="U27" s="64">
        <v>0</v>
      </c>
      <c r="V27" s="64">
        <f t="shared" si="10"/>
        <v>0</v>
      </c>
      <c r="W27" s="64">
        <f t="shared" si="10"/>
        <v>0</v>
      </c>
      <c r="X27" s="64">
        <f t="shared" si="10"/>
        <v>0</v>
      </c>
      <c r="Y27" s="64">
        <f t="shared" si="10"/>
        <v>0</v>
      </c>
      <c r="Z27" s="64">
        <f t="shared" si="10"/>
        <v>0</v>
      </c>
      <c r="AA27" s="64">
        <f t="shared" si="10"/>
        <v>0</v>
      </c>
      <c r="AB27" s="32">
        <f t="shared" si="10"/>
        <v>0</v>
      </c>
      <c r="AC27" s="83">
        <f t="shared" si="10"/>
        <v>0</v>
      </c>
      <c r="AD27" s="64">
        <f t="shared" si="10"/>
        <v>0</v>
      </c>
      <c r="AE27" s="64">
        <f t="shared" si="10"/>
        <v>0</v>
      </c>
      <c r="AF27" s="64">
        <f t="shared" si="10"/>
        <v>0</v>
      </c>
      <c r="AG27" s="64">
        <f t="shared" si="10"/>
        <v>0</v>
      </c>
      <c r="AH27" s="64">
        <f t="shared" si="10"/>
        <v>0</v>
      </c>
      <c r="AI27" s="64">
        <f t="shared" si="10"/>
        <v>0</v>
      </c>
      <c r="AJ27" s="64">
        <f t="shared" si="10"/>
        <v>0</v>
      </c>
      <c r="AK27" s="64">
        <f t="shared" si="10"/>
        <v>0</v>
      </c>
      <c r="AL27" s="64">
        <f t="shared" si="10"/>
        <v>0</v>
      </c>
      <c r="AM27" s="64">
        <f t="shared" si="10"/>
        <v>0</v>
      </c>
      <c r="AN27" s="32">
        <f t="shared" si="10"/>
        <v>0</v>
      </c>
      <c r="AO27" s="832" t="str">
        <f t="shared" si="2"/>
        <v>Si</v>
      </c>
      <c r="AP27" s="32">
        <f t="shared" si="4"/>
        <v>0</v>
      </c>
    </row>
    <row r="28" spans="2:42" x14ac:dyDescent="0.3">
      <c r="B28" s="30" t="s">
        <v>512</v>
      </c>
      <c r="C28" s="2" t="s">
        <v>513</v>
      </c>
      <c r="D28" s="42">
        <v>46023</v>
      </c>
      <c r="E28" s="56">
        <v>46387</v>
      </c>
      <c r="F28" s="40">
        <f t="shared" si="0"/>
        <v>364</v>
      </c>
      <c r="G28" s="40" t="str">
        <f>+B20</f>
        <v>1.1.1.1</v>
      </c>
      <c r="H28" s="40" t="str">
        <f>+B29</f>
        <v>1.1.3.2</v>
      </c>
      <c r="I28" s="65">
        <v>0</v>
      </c>
      <c r="J28" s="33">
        <f t="shared" si="6"/>
        <v>0</v>
      </c>
      <c r="K28" s="622">
        <v>0</v>
      </c>
      <c r="L28" s="65">
        <v>0</v>
      </c>
      <c r="M28" s="65">
        <v>0</v>
      </c>
      <c r="N28" s="65">
        <v>0</v>
      </c>
      <c r="O28" s="65">
        <v>0</v>
      </c>
      <c r="P28" s="33">
        <v>0</v>
      </c>
      <c r="Q28" s="84">
        <v>0</v>
      </c>
      <c r="R28" s="65">
        <v>0</v>
      </c>
      <c r="S28" s="65">
        <v>0</v>
      </c>
      <c r="T28" s="65">
        <v>0</v>
      </c>
      <c r="U28" s="65">
        <v>0</v>
      </c>
      <c r="V28" s="65">
        <v>0</v>
      </c>
      <c r="W28" s="65">
        <v>0</v>
      </c>
      <c r="X28" s="65">
        <v>0</v>
      </c>
      <c r="Y28" s="65">
        <v>0</v>
      </c>
      <c r="Z28" s="65">
        <v>0</v>
      </c>
      <c r="AA28" s="65">
        <v>0</v>
      </c>
      <c r="AB28" s="33">
        <v>0</v>
      </c>
      <c r="AC28" s="84">
        <v>0</v>
      </c>
      <c r="AD28" s="65">
        <v>0</v>
      </c>
      <c r="AE28" s="65">
        <v>0</v>
      </c>
      <c r="AF28" s="65">
        <v>0</v>
      </c>
      <c r="AG28" s="65">
        <v>0</v>
      </c>
      <c r="AH28" s="65">
        <v>0</v>
      </c>
      <c r="AI28" s="65">
        <v>0</v>
      </c>
      <c r="AJ28" s="65">
        <v>0</v>
      </c>
      <c r="AK28" s="65">
        <v>0</v>
      </c>
      <c r="AL28" s="65">
        <v>0</v>
      </c>
      <c r="AM28" s="65">
        <v>0</v>
      </c>
      <c r="AN28" s="33">
        <v>0</v>
      </c>
      <c r="AO28" s="833" t="str">
        <f t="shared" si="2"/>
        <v>Si</v>
      </c>
      <c r="AP28" s="33">
        <f t="shared" si="4"/>
        <v>0</v>
      </c>
    </row>
    <row r="29" spans="2:42" x14ac:dyDescent="0.3">
      <c r="B29" s="30" t="s">
        <v>514</v>
      </c>
      <c r="C29" s="2" t="s">
        <v>515</v>
      </c>
      <c r="D29" s="42">
        <v>46023</v>
      </c>
      <c r="E29" s="56">
        <v>46387</v>
      </c>
      <c r="F29" s="40">
        <f t="shared" si="0"/>
        <v>364</v>
      </c>
      <c r="G29" s="40" t="str">
        <f>+B28</f>
        <v>1.1.3.1</v>
      </c>
      <c r="H29" s="40" t="str">
        <f>+B30</f>
        <v>1.1.3.3</v>
      </c>
      <c r="I29" s="65">
        <v>0</v>
      </c>
      <c r="J29" s="33">
        <f t="shared" si="6"/>
        <v>0</v>
      </c>
      <c r="K29" s="622">
        <v>0</v>
      </c>
      <c r="L29" s="65">
        <v>0</v>
      </c>
      <c r="M29" s="65">
        <v>0</v>
      </c>
      <c r="N29" s="65">
        <v>0</v>
      </c>
      <c r="O29" s="65">
        <v>0</v>
      </c>
      <c r="P29" s="33">
        <v>0</v>
      </c>
      <c r="Q29" s="84">
        <v>0</v>
      </c>
      <c r="R29" s="65">
        <v>0</v>
      </c>
      <c r="S29" s="65">
        <v>0</v>
      </c>
      <c r="T29" s="65">
        <v>0</v>
      </c>
      <c r="U29" s="65">
        <v>0</v>
      </c>
      <c r="V29" s="65">
        <v>0</v>
      </c>
      <c r="W29" s="65">
        <v>0</v>
      </c>
      <c r="X29" s="65">
        <v>0</v>
      </c>
      <c r="Y29" s="65">
        <v>0</v>
      </c>
      <c r="Z29" s="65">
        <v>0</v>
      </c>
      <c r="AA29" s="65">
        <v>0</v>
      </c>
      <c r="AB29" s="33">
        <v>0</v>
      </c>
      <c r="AC29" s="84">
        <v>0</v>
      </c>
      <c r="AD29" s="65">
        <v>0</v>
      </c>
      <c r="AE29" s="65">
        <v>0</v>
      </c>
      <c r="AF29" s="65">
        <v>0</v>
      </c>
      <c r="AG29" s="65">
        <v>0</v>
      </c>
      <c r="AH29" s="65">
        <v>0</v>
      </c>
      <c r="AI29" s="65">
        <v>0</v>
      </c>
      <c r="AJ29" s="65">
        <v>0</v>
      </c>
      <c r="AK29" s="65">
        <v>0</v>
      </c>
      <c r="AL29" s="65">
        <v>0</v>
      </c>
      <c r="AM29" s="65">
        <v>0</v>
      </c>
      <c r="AN29" s="33">
        <v>0</v>
      </c>
      <c r="AO29" s="833" t="str">
        <f t="shared" si="2"/>
        <v>Si</v>
      </c>
      <c r="AP29" s="33">
        <f t="shared" si="4"/>
        <v>0</v>
      </c>
    </row>
    <row r="30" spans="2:42" ht="28.8" x14ac:dyDescent="0.3">
      <c r="B30" s="30" t="s">
        <v>516</v>
      </c>
      <c r="C30" s="2" t="s">
        <v>517</v>
      </c>
      <c r="D30" s="42">
        <v>46023</v>
      </c>
      <c r="E30" s="56">
        <v>46387</v>
      </c>
      <c r="F30" s="40">
        <f t="shared" si="0"/>
        <v>364</v>
      </c>
      <c r="G30" s="40" t="str">
        <f t="shared" ref="G30:G32" si="11">+B29</f>
        <v>1.1.3.2</v>
      </c>
      <c r="H30" s="40" t="str">
        <f t="shared" ref="H30:H31" si="12">+B31</f>
        <v>1.1.3.4</v>
      </c>
      <c r="I30" s="65">
        <v>0</v>
      </c>
      <c r="J30" s="33">
        <f t="shared" si="6"/>
        <v>0</v>
      </c>
      <c r="K30" s="622">
        <v>0</v>
      </c>
      <c r="L30" s="65">
        <v>0</v>
      </c>
      <c r="M30" s="65">
        <v>0</v>
      </c>
      <c r="N30" s="65">
        <v>0</v>
      </c>
      <c r="O30" s="65">
        <v>0</v>
      </c>
      <c r="P30" s="33">
        <v>0</v>
      </c>
      <c r="Q30" s="84">
        <v>0</v>
      </c>
      <c r="R30" s="65">
        <v>0</v>
      </c>
      <c r="S30" s="65">
        <v>0</v>
      </c>
      <c r="T30" s="65">
        <v>0</v>
      </c>
      <c r="U30" s="65">
        <v>0</v>
      </c>
      <c r="V30" s="65">
        <v>0</v>
      </c>
      <c r="W30" s="65">
        <v>0</v>
      </c>
      <c r="X30" s="65">
        <v>0</v>
      </c>
      <c r="Y30" s="65">
        <v>0</v>
      </c>
      <c r="Z30" s="65">
        <v>0</v>
      </c>
      <c r="AA30" s="65">
        <v>0</v>
      </c>
      <c r="AB30" s="33">
        <v>0</v>
      </c>
      <c r="AC30" s="84">
        <v>0</v>
      </c>
      <c r="AD30" s="65">
        <v>0</v>
      </c>
      <c r="AE30" s="65">
        <v>0</v>
      </c>
      <c r="AF30" s="65">
        <v>0</v>
      </c>
      <c r="AG30" s="65">
        <v>0</v>
      </c>
      <c r="AH30" s="65">
        <v>0</v>
      </c>
      <c r="AI30" s="65">
        <v>0</v>
      </c>
      <c r="AJ30" s="65">
        <v>0</v>
      </c>
      <c r="AK30" s="65">
        <v>0</v>
      </c>
      <c r="AL30" s="65">
        <v>0</v>
      </c>
      <c r="AM30" s="65">
        <v>0</v>
      </c>
      <c r="AN30" s="33">
        <v>0</v>
      </c>
      <c r="AO30" s="833" t="str">
        <f t="shared" si="2"/>
        <v>Si</v>
      </c>
      <c r="AP30" s="33">
        <f t="shared" si="4"/>
        <v>0</v>
      </c>
    </row>
    <row r="31" spans="2:42" x14ac:dyDescent="0.3">
      <c r="B31" s="30" t="s">
        <v>518</v>
      </c>
      <c r="C31" s="2" t="s">
        <v>519</v>
      </c>
      <c r="D31" s="42">
        <v>46023</v>
      </c>
      <c r="E31" s="56">
        <v>46387</v>
      </c>
      <c r="F31" s="40">
        <f t="shared" si="0"/>
        <v>364</v>
      </c>
      <c r="G31" s="40" t="str">
        <f t="shared" si="11"/>
        <v>1.1.3.3</v>
      </c>
      <c r="H31" s="40" t="str">
        <f t="shared" si="12"/>
        <v>1.1.3.5</v>
      </c>
      <c r="I31" s="65">
        <v>0</v>
      </c>
      <c r="J31" s="33">
        <f t="shared" si="6"/>
        <v>0</v>
      </c>
      <c r="K31" s="622">
        <v>0</v>
      </c>
      <c r="L31" s="65">
        <v>0</v>
      </c>
      <c r="M31" s="65">
        <v>0</v>
      </c>
      <c r="N31" s="65">
        <v>0</v>
      </c>
      <c r="O31" s="65">
        <v>0</v>
      </c>
      <c r="P31" s="33">
        <v>0</v>
      </c>
      <c r="Q31" s="84">
        <v>0</v>
      </c>
      <c r="R31" s="65">
        <v>0</v>
      </c>
      <c r="S31" s="65">
        <v>0</v>
      </c>
      <c r="T31" s="65">
        <v>0</v>
      </c>
      <c r="U31" s="65">
        <v>0</v>
      </c>
      <c r="V31" s="65">
        <v>0</v>
      </c>
      <c r="W31" s="65">
        <v>0</v>
      </c>
      <c r="X31" s="65">
        <v>0</v>
      </c>
      <c r="Y31" s="65">
        <v>0</v>
      </c>
      <c r="Z31" s="65">
        <v>0</v>
      </c>
      <c r="AA31" s="65">
        <v>0</v>
      </c>
      <c r="AB31" s="33">
        <v>0</v>
      </c>
      <c r="AC31" s="84">
        <v>0</v>
      </c>
      <c r="AD31" s="65">
        <v>0</v>
      </c>
      <c r="AE31" s="65">
        <v>0</v>
      </c>
      <c r="AF31" s="65">
        <v>0</v>
      </c>
      <c r="AG31" s="65">
        <v>0</v>
      </c>
      <c r="AH31" s="65">
        <v>0</v>
      </c>
      <c r="AI31" s="65">
        <v>0</v>
      </c>
      <c r="AJ31" s="65">
        <v>0</v>
      </c>
      <c r="AK31" s="65">
        <v>0</v>
      </c>
      <c r="AL31" s="65">
        <v>0</v>
      </c>
      <c r="AM31" s="65">
        <v>0</v>
      </c>
      <c r="AN31" s="33">
        <v>0</v>
      </c>
      <c r="AO31" s="833" t="str">
        <f t="shared" si="2"/>
        <v>Si</v>
      </c>
      <c r="AP31" s="33">
        <f t="shared" si="4"/>
        <v>0</v>
      </c>
    </row>
    <row r="32" spans="2:42" x14ac:dyDescent="0.3">
      <c r="B32" s="30" t="s">
        <v>520</v>
      </c>
      <c r="C32" s="2" t="s">
        <v>521</v>
      </c>
      <c r="D32" s="42">
        <v>46023</v>
      </c>
      <c r="E32" s="56">
        <v>46387</v>
      </c>
      <c r="F32" s="40">
        <f t="shared" si="0"/>
        <v>364</v>
      </c>
      <c r="G32" s="40" t="str">
        <f t="shared" si="11"/>
        <v>1.1.3.4</v>
      </c>
      <c r="H32" s="40" t="s">
        <v>491</v>
      </c>
      <c r="I32" s="65">
        <v>0</v>
      </c>
      <c r="J32" s="33">
        <f t="shared" si="6"/>
        <v>0</v>
      </c>
      <c r="K32" s="622">
        <v>0</v>
      </c>
      <c r="L32" s="65">
        <v>0</v>
      </c>
      <c r="M32" s="65">
        <v>0</v>
      </c>
      <c r="N32" s="65">
        <v>0</v>
      </c>
      <c r="O32" s="65">
        <v>0</v>
      </c>
      <c r="P32" s="33">
        <v>0</v>
      </c>
      <c r="Q32" s="84">
        <v>0</v>
      </c>
      <c r="R32" s="65">
        <v>0</v>
      </c>
      <c r="S32" s="65">
        <v>0</v>
      </c>
      <c r="T32" s="65">
        <v>0</v>
      </c>
      <c r="U32" s="65">
        <v>0</v>
      </c>
      <c r="V32" s="65">
        <v>0</v>
      </c>
      <c r="W32" s="65">
        <v>0</v>
      </c>
      <c r="X32" s="65">
        <v>0</v>
      </c>
      <c r="Y32" s="65">
        <v>0</v>
      </c>
      <c r="Z32" s="65">
        <v>0</v>
      </c>
      <c r="AA32" s="65">
        <v>0</v>
      </c>
      <c r="AB32" s="33">
        <v>0</v>
      </c>
      <c r="AC32" s="84">
        <v>0</v>
      </c>
      <c r="AD32" s="65">
        <v>0</v>
      </c>
      <c r="AE32" s="65">
        <v>0</v>
      </c>
      <c r="AF32" s="65">
        <v>0</v>
      </c>
      <c r="AG32" s="65">
        <v>0</v>
      </c>
      <c r="AH32" s="65">
        <v>0</v>
      </c>
      <c r="AI32" s="65">
        <v>0</v>
      </c>
      <c r="AJ32" s="65">
        <v>0</v>
      </c>
      <c r="AK32" s="65">
        <v>0</v>
      </c>
      <c r="AL32" s="65">
        <v>0</v>
      </c>
      <c r="AM32" s="65">
        <v>0</v>
      </c>
      <c r="AN32" s="33">
        <v>0</v>
      </c>
      <c r="AO32" s="833" t="str">
        <f t="shared" si="2"/>
        <v>Si</v>
      </c>
      <c r="AP32" s="33">
        <f t="shared" si="4"/>
        <v>0</v>
      </c>
    </row>
    <row r="33" spans="2:42" x14ac:dyDescent="0.3">
      <c r="B33" s="29" t="s">
        <v>522</v>
      </c>
      <c r="C33" s="19" t="s">
        <v>523</v>
      </c>
      <c r="D33" s="55">
        <v>46023</v>
      </c>
      <c r="E33" s="55">
        <v>46387</v>
      </c>
      <c r="F33" s="39">
        <f t="shared" si="0"/>
        <v>364</v>
      </c>
      <c r="G33" s="39" t="str">
        <f>+G34</f>
        <v>INICIO</v>
      </c>
      <c r="H33" s="39" t="str">
        <f>+H38</f>
        <v>FIN</v>
      </c>
      <c r="I33" s="64">
        <f>+SUM(I34:I38)</f>
        <v>0</v>
      </c>
      <c r="J33" s="32">
        <f t="shared" si="6"/>
        <v>0</v>
      </c>
      <c r="K33" s="564">
        <f>+SUM(K34:K38)</f>
        <v>0</v>
      </c>
      <c r="L33" s="64">
        <f t="shared" ref="L33:AN33" si="13">+SUM(L34:L38)</f>
        <v>0</v>
      </c>
      <c r="M33" s="64">
        <f t="shared" si="13"/>
        <v>0</v>
      </c>
      <c r="N33" s="64">
        <f t="shared" si="13"/>
        <v>0</v>
      </c>
      <c r="O33" s="64">
        <f t="shared" si="13"/>
        <v>0</v>
      </c>
      <c r="P33" s="32">
        <f t="shared" si="13"/>
        <v>0</v>
      </c>
      <c r="Q33" s="83">
        <f t="shared" si="13"/>
        <v>0</v>
      </c>
      <c r="R33" s="64">
        <f t="shared" si="13"/>
        <v>0</v>
      </c>
      <c r="S33" s="64">
        <f t="shared" si="13"/>
        <v>0</v>
      </c>
      <c r="T33" s="64">
        <f t="shared" si="13"/>
        <v>0</v>
      </c>
      <c r="U33" s="64">
        <f t="shared" si="13"/>
        <v>0</v>
      </c>
      <c r="V33" s="64">
        <f t="shared" si="13"/>
        <v>0</v>
      </c>
      <c r="W33" s="64">
        <f t="shared" si="13"/>
        <v>0</v>
      </c>
      <c r="X33" s="64">
        <f t="shared" si="13"/>
        <v>0</v>
      </c>
      <c r="Y33" s="64">
        <f t="shared" si="13"/>
        <v>0</v>
      </c>
      <c r="Z33" s="64">
        <f t="shared" si="13"/>
        <v>0</v>
      </c>
      <c r="AA33" s="64">
        <f t="shared" si="13"/>
        <v>0</v>
      </c>
      <c r="AB33" s="32">
        <f t="shared" si="13"/>
        <v>0</v>
      </c>
      <c r="AC33" s="83">
        <f t="shared" si="13"/>
        <v>0</v>
      </c>
      <c r="AD33" s="64">
        <f t="shared" si="13"/>
        <v>0</v>
      </c>
      <c r="AE33" s="64">
        <f t="shared" si="13"/>
        <v>0</v>
      </c>
      <c r="AF33" s="64">
        <f t="shared" si="13"/>
        <v>0</v>
      </c>
      <c r="AG33" s="64">
        <f t="shared" si="13"/>
        <v>0</v>
      </c>
      <c r="AH33" s="64">
        <f t="shared" si="13"/>
        <v>0</v>
      </c>
      <c r="AI33" s="64">
        <f t="shared" si="13"/>
        <v>0</v>
      </c>
      <c r="AJ33" s="64">
        <f t="shared" si="13"/>
        <v>0</v>
      </c>
      <c r="AK33" s="64">
        <f t="shared" si="13"/>
        <v>0</v>
      </c>
      <c r="AL33" s="64">
        <f t="shared" si="13"/>
        <v>0</v>
      </c>
      <c r="AM33" s="64">
        <f t="shared" si="13"/>
        <v>0</v>
      </c>
      <c r="AN33" s="32">
        <f t="shared" si="13"/>
        <v>0</v>
      </c>
      <c r="AO33" s="832" t="str">
        <f t="shared" si="2"/>
        <v>Si</v>
      </c>
      <c r="AP33" s="32">
        <f t="shared" si="4"/>
        <v>0</v>
      </c>
    </row>
    <row r="34" spans="2:42" x14ac:dyDescent="0.3">
      <c r="B34" s="30" t="s">
        <v>524</v>
      </c>
      <c r="C34" s="17" t="s">
        <v>525</v>
      </c>
      <c r="D34" s="42">
        <v>46023</v>
      </c>
      <c r="E34" s="42">
        <v>46752</v>
      </c>
      <c r="F34" s="40">
        <f t="shared" si="0"/>
        <v>729</v>
      </c>
      <c r="G34" s="40" t="s">
        <v>490</v>
      </c>
      <c r="H34" s="40" t="str">
        <f>+B35</f>
        <v>1.1.4.2</v>
      </c>
      <c r="I34" s="65">
        <v>0</v>
      </c>
      <c r="J34" s="33">
        <f t="shared" si="6"/>
        <v>0</v>
      </c>
      <c r="K34" s="622">
        <v>0</v>
      </c>
      <c r="L34" s="65">
        <v>0</v>
      </c>
      <c r="M34" s="65">
        <v>0</v>
      </c>
      <c r="N34" s="65">
        <v>0</v>
      </c>
      <c r="O34" s="65">
        <v>0</v>
      </c>
      <c r="P34" s="33">
        <v>0</v>
      </c>
      <c r="Q34" s="84">
        <v>0</v>
      </c>
      <c r="R34" s="65">
        <v>0</v>
      </c>
      <c r="S34" s="65">
        <v>0</v>
      </c>
      <c r="T34" s="65">
        <v>0</v>
      </c>
      <c r="U34" s="65">
        <v>0</v>
      </c>
      <c r="V34" s="65">
        <v>0</v>
      </c>
      <c r="W34" s="65">
        <v>0</v>
      </c>
      <c r="X34" s="65">
        <v>0</v>
      </c>
      <c r="Y34" s="65">
        <v>0</v>
      </c>
      <c r="Z34" s="65">
        <v>0</v>
      </c>
      <c r="AA34" s="65">
        <v>0</v>
      </c>
      <c r="AB34" s="33">
        <v>0</v>
      </c>
      <c r="AC34" s="84">
        <v>0</v>
      </c>
      <c r="AD34" s="65">
        <v>0</v>
      </c>
      <c r="AE34" s="65">
        <v>0</v>
      </c>
      <c r="AF34" s="65">
        <v>0</v>
      </c>
      <c r="AG34" s="65">
        <v>0</v>
      </c>
      <c r="AH34" s="65">
        <v>0</v>
      </c>
      <c r="AI34" s="65">
        <v>0</v>
      </c>
      <c r="AJ34" s="65">
        <v>0</v>
      </c>
      <c r="AK34" s="65">
        <v>0</v>
      </c>
      <c r="AL34" s="65">
        <v>0</v>
      </c>
      <c r="AM34" s="65">
        <v>0</v>
      </c>
      <c r="AN34" s="33">
        <v>0</v>
      </c>
      <c r="AO34" s="833" t="str">
        <f t="shared" si="2"/>
        <v>Si</v>
      </c>
      <c r="AP34" s="33">
        <f t="shared" si="4"/>
        <v>0</v>
      </c>
    </row>
    <row r="35" spans="2:42" x14ac:dyDescent="0.3">
      <c r="B35" s="30" t="s">
        <v>526</v>
      </c>
      <c r="C35" s="17" t="s">
        <v>527</v>
      </c>
      <c r="D35" s="42">
        <v>46023</v>
      </c>
      <c r="E35" s="42">
        <v>46752</v>
      </c>
      <c r="F35" s="40">
        <f t="shared" si="0"/>
        <v>729</v>
      </c>
      <c r="G35" s="40" t="str">
        <f>+B34</f>
        <v>1.1.4.1</v>
      </c>
      <c r="H35" s="40" t="str">
        <f t="shared" ref="H35:H37" si="14">+B36</f>
        <v>1.1.4.3</v>
      </c>
      <c r="I35" s="65">
        <v>0</v>
      </c>
      <c r="J35" s="33">
        <f t="shared" si="6"/>
        <v>0</v>
      </c>
      <c r="K35" s="622">
        <v>0</v>
      </c>
      <c r="L35" s="65">
        <v>0</v>
      </c>
      <c r="M35" s="65">
        <v>0</v>
      </c>
      <c r="N35" s="65">
        <v>0</v>
      </c>
      <c r="O35" s="65">
        <v>0</v>
      </c>
      <c r="P35" s="33">
        <v>0</v>
      </c>
      <c r="Q35" s="84">
        <v>0</v>
      </c>
      <c r="R35" s="65">
        <v>0</v>
      </c>
      <c r="S35" s="65">
        <v>0</v>
      </c>
      <c r="T35" s="65">
        <v>0</v>
      </c>
      <c r="U35" s="65">
        <v>0</v>
      </c>
      <c r="V35" s="65">
        <v>0</v>
      </c>
      <c r="W35" s="65">
        <v>0</v>
      </c>
      <c r="X35" s="65">
        <v>0</v>
      </c>
      <c r="Y35" s="65">
        <v>0</v>
      </c>
      <c r="Z35" s="65">
        <v>0</v>
      </c>
      <c r="AA35" s="65">
        <v>0</v>
      </c>
      <c r="AB35" s="33">
        <v>0</v>
      </c>
      <c r="AC35" s="84">
        <v>0</v>
      </c>
      <c r="AD35" s="65">
        <v>0</v>
      </c>
      <c r="AE35" s="65">
        <v>0</v>
      </c>
      <c r="AF35" s="65">
        <v>0</v>
      </c>
      <c r="AG35" s="65">
        <v>0</v>
      </c>
      <c r="AH35" s="65">
        <v>0</v>
      </c>
      <c r="AI35" s="65">
        <v>0</v>
      </c>
      <c r="AJ35" s="65">
        <v>0</v>
      </c>
      <c r="AK35" s="65">
        <v>0</v>
      </c>
      <c r="AL35" s="65">
        <v>0</v>
      </c>
      <c r="AM35" s="65">
        <v>0</v>
      </c>
      <c r="AN35" s="33">
        <v>0</v>
      </c>
      <c r="AO35" s="833" t="str">
        <f t="shared" si="2"/>
        <v>Si</v>
      </c>
      <c r="AP35" s="33">
        <f t="shared" si="4"/>
        <v>0</v>
      </c>
    </row>
    <row r="36" spans="2:42" x14ac:dyDescent="0.3">
      <c r="B36" s="30" t="s">
        <v>528</v>
      </c>
      <c r="C36" s="17" t="s">
        <v>529</v>
      </c>
      <c r="D36" s="42">
        <v>46023</v>
      </c>
      <c r="E36" s="42">
        <v>46752</v>
      </c>
      <c r="F36" s="40">
        <f t="shared" si="0"/>
        <v>729</v>
      </c>
      <c r="G36" s="40" t="str">
        <f t="shared" ref="G36:G38" si="15">+B35</f>
        <v>1.1.4.2</v>
      </c>
      <c r="H36" s="40" t="str">
        <f t="shared" si="14"/>
        <v>1.1.4.4</v>
      </c>
      <c r="I36" s="65">
        <v>0</v>
      </c>
      <c r="J36" s="33">
        <f t="shared" si="6"/>
        <v>0</v>
      </c>
      <c r="K36" s="622">
        <v>0</v>
      </c>
      <c r="L36" s="65">
        <v>0</v>
      </c>
      <c r="M36" s="65">
        <v>0</v>
      </c>
      <c r="N36" s="65">
        <v>0</v>
      </c>
      <c r="O36" s="65">
        <v>0</v>
      </c>
      <c r="P36" s="33">
        <v>0</v>
      </c>
      <c r="Q36" s="84">
        <v>0</v>
      </c>
      <c r="R36" s="65">
        <v>0</v>
      </c>
      <c r="S36" s="65">
        <v>0</v>
      </c>
      <c r="T36" s="65">
        <v>0</v>
      </c>
      <c r="U36" s="65">
        <v>0</v>
      </c>
      <c r="V36" s="65">
        <v>0</v>
      </c>
      <c r="W36" s="65">
        <v>0</v>
      </c>
      <c r="X36" s="65">
        <v>0</v>
      </c>
      <c r="Y36" s="65">
        <v>0</v>
      </c>
      <c r="Z36" s="65">
        <v>0</v>
      </c>
      <c r="AA36" s="65">
        <v>0</v>
      </c>
      <c r="AB36" s="33">
        <v>0</v>
      </c>
      <c r="AC36" s="84">
        <v>0</v>
      </c>
      <c r="AD36" s="65">
        <v>0</v>
      </c>
      <c r="AE36" s="65">
        <v>0</v>
      </c>
      <c r="AF36" s="65">
        <v>0</v>
      </c>
      <c r="AG36" s="65">
        <v>0</v>
      </c>
      <c r="AH36" s="65">
        <v>0</v>
      </c>
      <c r="AI36" s="65">
        <v>0</v>
      </c>
      <c r="AJ36" s="65">
        <v>0</v>
      </c>
      <c r="AK36" s="65">
        <v>0</v>
      </c>
      <c r="AL36" s="65">
        <v>0</v>
      </c>
      <c r="AM36" s="65">
        <v>0</v>
      </c>
      <c r="AN36" s="33">
        <v>0</v>
      </c>
      <c r="AO36" s="833" t="str">
        <f t="shared" si="2"/>
        <v>Si</v>
      </c>
      <c r="AP36" s="33">
        <f t="shared" si="4"/>
        <v>0</v>
      </c>
    </row>
    <row r="37" spans="2:42" ht="28.8" x14ac:dyDescent="0.3">
      <c r="B37" s="30" t="s">
        <v>530</v>
      </c>
      <c r="C37" s="3" t="s">
        <v>531</v>
      </c>
      <c r="D37" s="42">
        <v>46023</v>
      </c>
      <c r="E37" s="42">
        <v>46752</v>
      </c>
      <c r="F37" s="40">
        <f t="shared" si="0"/>
        <v>729</v>
      </c>
      <c r="G37" s="40" t="str">
        <f t="shared" si="15"/>
        <v>1.1.4.3</v>
      </c>
      <c r="H37" s="40" t="str">
        <f t="shared" si="14"/>
        <v>1.1.4.5</v>
      </c>
      <c r="I37" s="65">
        <v>0</v>
      </c>
      <c r="J37" s="33">
        <f t="shared" si="6"/>
        <v>0</v>
      </c>
      <c r="K37" s="622">
        <v>0</v>
      </c>
      <c r="L37" s="65">
        <v>0</v>
      </c>
      <c r="M37" s="65">
        <v>0</v>
      </c>
      <c r="N37" s="65">
        <v>0</v>
      </c>
      <c r="O37" s="65">
        <v>0</v>
      </c>
      <c r="P37" s="33">
        <v>0</v>
      </c>
      <c r="Q37" s="84">
        <v>0</v>
      </c>
      <c r="R37" s="65">
        <v>0</v>
      </c>
      <c r="S37" s="65">
        <v>0</v>
      </c>
      <c r="T37" s="65">
        <v>0</v>
      </c>
      <c r="U37" s="65">
        <v>0</v>
      </c>
      <c r="V37" s="65">
        <v>0</v>
      </c>
      <c r="W37" s="65">
        <v>0</v>
      </c>
      <c r="X37" s="65">
        <v>0</v>
      </c>
      <c r="Y37" s="65">
        <v>0</v>
      </c>
      <c r="Z37" s="65">
        <v>0</v>
      </c>
      <c r="AA37" s="65">
        <v>0</v>
      </c>
      <c r="AB37" s="33">
        <v>0</v>
      </c>
      <c r="AC37" s="84">
        <v>0</v>
      </c>
      <c r="AD37" s="65">
        <v>0</v>
      </c>
      <c r="AE37" s="65">
        <v>0</v>
      </c>
      <c r="AF37" s="65">
        <v>0</v>
      </c>
      <c r="AG37" s="65">
        <v>0</v>
      </c>
      <c r="AH37" s="65">
        <v>0</v>
      </c>
      <c r="AI37" s="65">
        <v>0</v>
      </c>
      <c r="AJ37" s="65">
        <v>0</v>
      </c>
      <c r="AK37" s="65">
        <v>0</v>
      </c>
      <c r="AL37" s="65">
        <v>0</v>
      </c>
      <c r="AM37" s="65">
        <v>0</v>
      </c>
      <c r="AN37" s="33">
        <v>0</v>
      </c>
      <c r="AO37" s="833" t="str">
        <f t="shared" si="2"/>
        <v>Si</v>
      </c>
      <c r="AP37" s="33">
        <f t="shared" si="4"/>
        <v>0</v>
      </c>
    </row>
    <row r="38" spans="2:42" x14ac:dyDescent="0.3">
      <c r="B38" s="30" t="s">
        <v>532</v>
      </c>
      <c r="C38" s="17" t="s">
        <v>533</v>
      </c>
      <c r="D38" s="42">
        <v>46023</v>
      </c>
      <c r="E38" s="42">
        <v>46752</v>
      </c>
      <c r="F38" s="40">
        <f t="shared" si="0"/>
        <v>729</v>
      </c>
      <c r="G38" s="40" t="str">
        <f t="shared" si="15"/>
        <v>1.1.4.4</v>
      </c>
      <c r="H38" s="40" t="s">
        <v>491</v>
      </c>
      <c r="I38" s="65">
        <v>0</v>
      </c>
      <c r="J38" s="33">
        <f t="shared" si="6"/>
        <v>0</v>
      </c>
      <c r="K38" s="622">
        <v>0</v>
      </c>
      <c r="L38" s="65">
        <v>0</v>
      </c>
      <c r="M38" s="65">
        <v>0</v>
      </c>
      <c r="N38" s="65">
        <v>0</v>
      </c>
      <c r="O38" s="65">
        <v>0</v>
      </c>
      <c r="P38" s="33">
        <v>0</v>
      </c>
      <c r="Q38" s="84">
        <v>0</v>
      </c>
      <c r="R38" s="65">
        <v>0</v>
      </c>
      <c r="S38" s="65">
        <v>0</v>
      </c>
      <c r="T38" s="65">
        <v>0</v>
      </c>
      <c r="U38" s="65">
        <v>0</v>
      </c>
      <c r="V38" s="65">
        <v>0</v>
      </c>
      <c r="W38" s="65">
        <v>0</v>
      </c>
      <c r="X38" s="65">
        <v>0</v>
      </c>
      <c r="Y38" s="65">
        <v>0</v>
      </c>
      <c r="Z38" s="65">
        <v>0</v>
      </c>
      <c r="AA38" s="65">
        <v>0</v>
      </c>
      <c r="AB38" s="33">
        <v>0</v>
      </c>
      <c r="AC38" s="84">
        <v>0</v>
      </c>
      <c r="AD38" s="65">
        <v>0</v>
      </c>
      <c r="AE38" s="65">
        <v>0</v>
      </c>
      <c r="AF38" s="65">
        <v>0</v>
      </c>
      <c r="AG38" s="65">
        <v>0</v>
      </c>
      <c r="AH38" s="65">
        <v>0</v>
      </c>
      <c r="AI38" s="65">
        <v>0</v>
      </c>
      <c r="AJ38" s="65">
        <v>0</v>
      </c>
      <c r="AK38" s="65">
        <v>0</v>
      </c>
      <c r="AL38" s="65">
        <v>0</v>
      </c>
      <c r="AM38" s="65">
        <v>0</v>
      </c>
      <c r="AN38" s="33">
        <v>0</v>
      </c>
      <c r="AO38" s="833" t="str">
        <f t="shared" si="2"/>
        <v>Si</v>
      </c>
      <c r="AP38" s="33">
        <f t="shared" si="4"/>
        <v>0</v>
      </c>
    </row>
    <row r="39" spans="2:42" x14ac:dyDescent="0.3">
      <c r="B39" s="29" t="s">
        <v>534</v>
      </c>
      <c r="C39" s="19" t="s">
        <v>535</v>
      </c>
      <c r="D39" s="55">
        <v>46023</v>
      </c>
      <c r="E39" s="55">
        <v>46752</v>
      </c>
      <c r="F39" s="39">
        <f t="shared" si="0"/>
        <v>729</v>
      </c>
      <c r="G39" s="39" t="str">
        <f>+B23</f>
        <v>1.1.2.</v>
      </c>
      <c r="H39" s="39" t="str">
        <f>+H43</f>
        <v>FIN</v>
      </c>
      <c r="I39" s="64">
        <f>+SUM(I40:I43)</f>
        <v>0</v>
      </c>
      <c r="J39" s="32">
        <f t="shared" si="6"/>
        <v>0</v>
      </c>
      <c r="K39" s="564">
        <f>+SUM(K40:K43)</f>
        <v>0</v>
      </c>
      <c r="L39" s="64">
        <f t="shared" ref="L39:AN39" si="16">+SUM(L40:L43)</f>
        <v>0</v>
      </c>
      <c r="M39" s="64">
        <f t="shared" si="16"/>
        <v>0</v>
      </c>
      <c r="N39" s="64">
        <f t="shared" si="16"/>
        <v>0</v>
      </c>
      <c r="O39" s="64">
        <f t="shared" si="16"/>
        <v>0</v>
      </c>
      <c r="P39" s="32">
        <f t="shared" si="16"/>
        <v>0</v>
      </c>
      <c r="Q39" s="83">
        <f t="shared" si="16"/>
        <v>0</v>
      </c>
      <c r="R39" s="64">
        <f t="shared" si="16"/>
        <v>0</v>
      </c>
      <c r="S39" s="64">
        <f t="shared" si="16"/>
        <v>0</v>
      </c>
      <c r="T39" s="64">
        <f t="shared" si="16"/>
        <v>0</v>
      </c>
      <c r="U39" s="64">
        <f t="shared" si="16"/>
        <v>0</v>
      </c>
      <c r="V39" s="64">
        <f t="shared" si="16"/>
        <v>0</v>
      </c>
      <c r="W39" s="64">
        <f t="shared" si="16"/>
        <v>0</v>
      </c>
      <c r="X39" s="64">
        <f t="shared" si="16"/>
        <v>0</v>
      </c>
      <c r="Y39" s="64">
        <f t="shared" si="16"/>
        <v>0</v>
      </c>
      <c r="Z39" s="64">
        <f t="shared" si="16"/>
        <v>0</v>
      </c>
      <c r="AA39" s="64">
        <f t="shared" si="16"/>
        <v>0</v>
      </c>
      <c r="AB39" s="32">
        <f t="shared" si="16"/>
        <v>0</v>
      </c>
      <c r="AC39" s="83">
        <f t="shared" si="16"/>
        <v>0</v>
      </c>
      <c r="AD39" s="64">
        <f t="shared" si="16"/>
        <v>0</v>
      </c>
      <c r="AE39" s="64">
        <f t="shared" si="16"/>
        <v>0</v>
      </c>
      <c r="AF39" s="64">
        <f t="shared" si="16"/>
        <v>0</v>
      </c>
      <c r="AG39" s="64">
        <f t="shared" si="16"/>
        <v>0</v>
      </c>
      <c r="AH39" s="64">
        <f t="shared" si="16"/>
        <v>0</v>
      </c>
      <c r="AI39" s="64">
        <f t="shared" si="16"/>
        <v>0</v>
      </c>
      <c r="AJ39" s="64">
        <f t="shared" si="16"/>
        <v>0</v>
      </c>
      <c r="AK39" s="64">
        <f t="shared" si="16"/>
        <v>0</v>
      </c>
      <c r="AL39" s="64">
        <f t="shared" si="16"/>
        <v>0</v>
      </c>
      <c r="AM39" s="64">
        <f t="shared" si="16"/>
        <v>0</v>
      </c>
      <c r="AN39" s="32">
        <f t="shared" si="16"/>
        <v>0</v>
      </c>
      <c r="AO39" s="832" t="str">
        <f t="shared" si="2"/>
        <v>Si</v>
      </c>
      <c r="AP39" s="32">
        <f t="shared" si="4"/>
        <v>0</v>
      </c>
    </row>
    <row r="40" spans="2:42" ht="28.8" x14ac:dyDescent="0.3">
      <c r="B40" s="30" t="s">
        <v>536</v>
      </c>
      <c r="C40" s="2" t="s">
        <v>537</v>
      </c>
      <c r="D40" s="42">
        <v>46023</v>
      </c>
      <c r="E40" s="42">
        <v>46752</v>
      </c>
      <c r="F40" s="40">
        <f t="shared" si="0"/>
        <v>729</v>
      </c>
      <c r="G40" s="40" t="str">
        <f>+B25</f>
        <v>1.1.2.2</v>
      </c>
      <c r="H40" s="40" t="str">
        <f>+B41</f>
        <v>1.1.5.2</v>
      </c>
      <c r="I40" s="65">
        <v>0</v>
      </c>
      <c r="J40" s="33">
        <f t="shared" si="6"/>
        <v>0</v>
      </c>
      <c r="K40" s="622">
        <v>0</v>
      </c>
      <c r="L40" s="65">
        <v>0</v>
      </c>
      <c r="M40" s="65">
        <v>0</v>
      </c>
      <c r="N40" s="65">
        <v>0</v>
      </c>
      <c r="O40" s="65">
        <v>0</v>
      </c>
      <c r="P40" s="33">
        <v>0</v>
      </c>
      <c r="Q40" s="84">
        <v>0</v>
      </c>
      <c r="R40" s="65">
        <v>0</v>
      </c>
      <c r="S40" s="65">
        <v>0</v>
      </c>
      <c r="T40" s="65">
        <v>0</v>
      </c>
      <c r="U40" s="65">
        <v>0</v>
      </c>
      <c r="V40" s="65">
        <v>0</v>
      </c>
      <c r="W40" s="65">
        <v>0</v>
      </c>
      <c r="X40" s="65">
        <v>0</v>
      </c>
      <c r="Y40" s="65">
        <v>0</v>
      </c>
      <c r="Z40" s="65">
        <v>0</v>
      </c>
      <c r="AA40" s="65">
        <v>0</v>
      </c>
      <c r="AB40" s="33">
        <v>0</v>
      </c>
      <c r="AC40" s="84">
        <v>0</v>
      </c>
      <c r="AD40" s="65">
        <v>0</v>
      </c>
      <c r="AE40" s="65">
        <v>0</v>
      </c>
      <c r="AF40" s="65">
        <v>0</v>
      </c>
      <c r="AG40" s="65">
        <v>0</v>
      </c>
      <c r="AH40" s="65">
        <v>0</v>
      </c>
      <c r="AI40" s="65">
        <v>0</v>
      </c>
      <c r="AJ40" s="65">
        <v>0</v>
      </c>
      <c r="AK40" s="65">
        <v>0</v>
      </c>
      <c r="AL40" s="65">
        <v>0</v>
      </c>
      <c r="AM40" s="65">
        <v>0</v>
      </c>
      <c r="AN40" s="33">
        <v>0</v>
      </c>
      <c r="AO40" s="833" t="str">
        <f t="shared" si="2"/>
        <v>Si</v>
      </c>
      <c r="AP40" s="33">
        <f t="shared" si="4"/>
        <v>0</v>
      </c>
    </row>
    <row r="41" spans="2:42" x14ac:dyDescent="0.3">
      <c r="B41" s="30" t="s">
        <v>538</v>
      </c>
      <c r="C41" s="2" t="s">
        <v>539</v>
      </c>
      <c r="D41" s="42">
        <v>46023</v>
      </c>
      <c r="E41" s="42">
        <v>46752</v>
      </c>
      <c r="F41" s="40">
        <f t="shared" si="0"/>
        <v>729</v>
      </c>
      <c r="G41" s="40" t="str">
        <f>+B40</f>
        <v>1.1.5.1</v>
      </c>
      <c r="H41" s="40" t="str">
        <f>+B42</f>
        <v>1.1.5.3</v>
      </c>
      <c r="I41" s="65">
        <v>0</v>
      </c>
      <c r="J41" s="33">
        <f t="shared" si="6"/>
        <v>0</v>
      </c>
      <c r="K41" s="622">
        <v>0</v>
      </c>
      <c r="L41" s="65">
        <v>0</v>
      </c>
      <c r="M41" s="65">
        <v>0</v>
      </c>
      <c r="N41" s="65">
        <v>0</v>
      </c>
      <c r="O41" s="65">
        <v>0</v>
      </c>
      <c r="P41" s="33">
        <v>0</v>
      </c>
      <c r="Q41" s="84">
        <v>0</v>
      </c>
      <c r="R41" s="65">
        <v>0</v>
      </c>
      <c r="S41" s="65">
        <v>0</v>
      </c>
      <c r="T41" s="65">
        <v>0</v>
      </c>
      <c r="U41" s="65">
        <v>0</v>
      </c>
      <c r="V41" s="65">
        <v>0</v>
      </c>
      <c r="W41" s="65">
        <v>0</v>
      </c>
      <c r="X41" s="65">
        <v>0</v>
      </c>
      <c r="Y41" s="65">
        <v>0</v>
      </c>
      <c r="Z41" s="65">
        <v>0</v>
      </c>
      <c r="AA41" s="65">
        <v>0</v>
      </c>
      <c r="AB41" s="33">
        <v>0</v>
      </c>
      <c r="AC41" s="84">
        <v>0</v>
      </c>
      <c r="AD41" s="65">
        <v>0</v>
      </c>
      <c r="AE41" s="65">
        <v>0</v>
      </c>
      <c r="AF41" s="65">
        <v>0</v>
      </c>
      <c r="AG41" s="65">
        <v>0</v>
      </c>
      <c r="AH41" s="65">
        <v>0</v>
      </c>
      <c r="AI41" s="65">
        <v>0</v>
      </c>
      <c r="AJ41" s="65">
        <v>0</v>
      </c>
      <c r="AK41" s="65">
        <v>0</v>
      </c>
      <c r="AL41" s="65">
        <v>0</v>
      </c>
      <c r="AM41" s="65">
        <v>0</v>
      </c>
      <c r="AN41" s="33">
        <v>0</v>
      </c>
      <c r="AO41" s="833" t="str">
        <f t="shared" si="2"/>
        <v>Si</v>
      </c>
      <c r="AP41" s="33">
        <f t="shared" si="4"/>
        <v>0</v>
      </c>
    </row>
    <row r="42" spans="2:42" x14ac:dyDescent="0.3">
      <c r="B42" s="30" t="s">
        <v>540</v>
      </c>
      <c r="C42" s="2" t="s">
        <v>541</v>
      </c>
      <c r="D42" s="42">
        <v>46023</v>
      </c>
      <c r="E42" s="42">
        <v>46752</v>
      </c>
      <c r="F42" s="40">
        <f t="shared" si="0"/>
        <v>729</v>
      </c>
      <c r="G42" s="40" t="str">
        <f t="shared" ref="G42:G43" si="17">+B41</f>
        <v>1.1.5.2</v>
      </c>
      <c r="H42" s="40" t="str">
        <f>+B43</f>
        <v>1.1.5.4</v>
      </c>
      <c r="I42" s="65">
        <v>0</v>
      </c>
      <c r="J42" s="33">
        <f t="shared" si="6"/>
        <v>0</v>
      </c>
      <c r="K42" s="622">
        <v>0</v>
      </c>
      <c r="L42" s="65">
        <v>0</v>
      </c>
      <c r="M42" s="65">
        <v>0</v>
      </c>
      <c r="N42" s="65">
        <v>0</v>
      </c>
      <c r="O42" s="65">
        <v>0</v>
      </c>
      <c r="P42" s="33">
        <v>0</v>
      </c>
      <c r="Q42" s="84">
        <v>0</v>
      </c>
      <c r="R42" s="65">
        <v>0</v>
      </c>
      <c r="S42" s="65">
        <v>0</v>
      </c>
      <c r="T42" s="65">
        <v>0</v>
      </c>
      <c r="U42" s="65">
        <v>0</v>
      </c>
      <c r="V42" s="65">
        <v>0</v>
      </c>
      <c r="W42" s="65">
        <v>0</v>
      </c>
      <c r="X42" s="65">
        <v>0</v>
      </c>
      <c r="Y42" s="65">
        <v>0</v>
      </c>
      <c r="Z42" s="65">
        <v>0</v>
      </c>
      <c r="AA42" s="65">
        <v>0</v>
      </c>
      <c r="AB42" s="33">
        <v>0</v>
      </c>
      <c r="AC42" s="84">
        <v>0</v>
      </c>
      <c r="AD42" s="65">
        <v>0</v>
      </c>
      <c r="AE42" s="65">
        <v>0</v>
      </c>
      <c r="AF42" s="65">
        <v>0</v>
      </c>
      <c r="AG42" s="65">
        <v>0</v>
      </c>
      <c r="AH42" s="65">
        <v>0</v>
      </c>
      <c r="AI42" s="65">
        <v>0</v>
      </c>
      <c r="AJ42" s="65">
        <v>0</v>
      </c>
      <c r="AK42" s="65">
        <v>0</v>
      </c>
      <c r="AL42" s="65">
        <v>0</v>
      </c>
      <c r="AM42" s="65">
        <v>0</v>
      </c>
      <c r="AN42" s="33">
        <v>0</v>
      </c>
      <c r="AO42" s="833" t="str">
        <f t="shared" si="2"/>
        <v>Si</v>
      </c>
      <c r="AP42" s="33">
        <f t="shared" si="4"/>
        <v>0</v>
      </c>
    </row>
    <row r="43" spans="2:42" x14ac:dyDescent="0.3">
      <c r="B43" s="30" t="s">
        <v>542</v>
      </c>
      <c r="C43" s="2" t="s">
        <v>543</v>
      </c>
      <c r="D43" s="42">
        <v>46023</v>
      </c>
      <c r="E43" s="42">
        <v>46752</v>
      </c>
      <c r="F43" s="40">
        <f t="shared" si="0"/>
        <v>729</v>
      </c>
      <c r="G43" s="40" t="str">
        <f t="shared" si="17"/>
        <v>1.1.5.3</v>
      </c>
      <c r="H43" s="40" t="s">
        <v>491</v>
      </c>
      <c r="I43" s="65">
        <v>0</v>
      </c>
      <c r="J43" s="33">
        <f t="shared" si="6"/>
        <v>0</v>
      </c>
      <c r="K43" s="622">
        <v>0</v>
      </c>
      <c r="L43" s="65">
        <v>0</v>
      </c>
      <c r="M43" s="65">
        <v>0</v>
      </c>
      <c r="N43" s="65">
        <v>0</v>
      </c>
      <c r="O43" s="65">
        <v>0</v>
      </c>
      <c r="P43" s="33">
        <v>0</v>
      </c>
      <c r="Q43" s="84">
        <v>0</v>
      </c>
      <c r="R43" s="65">
        <v>0</v>
      </c>
      <c r="S43" s="65">
        <v>0</v>
      </c>
      <c r="T43" s="65">
        <v>0</v>
      </c>
      <c r="U43" s="65">
        <v>0</v>
      </c>
      <c r="V43" s="65">
        <v>0</v>
      </c>
      <c r="W43" s="65">
        <v>0</v>
      </c>
      <c r="X43" s="65">
        <v>0</v>
      </c>
      <c r="Y43" s="65">
        <v>0</v>
      </c>
      <c r="Z43" s="65">
        <v>0</v>
      </c>
      <c r="AA43" s="65">
        <v>0</v>
      </c>
      <c r="AB43" s="33">
        <v>0</v>
      </c>
      <c r="AC43" s="84">
        <v>0</v>
      </c>
      <c r="AD43" s="65">
        <v>0</v>
      </c>
      <c r="AE43" s="65">
        <v>0</v>
      </c>
      <c r="AF43" s="65">
        <v>0</v>
      </c>
      <c r="AG43" s="65">
        <v>0</v>
      </c>
      <c r="AH43" s="65">
        <v>0</v>
      </c>
      <c r="AI43" s="65">
        <v>0</v>
      </c>
      <c r="AJ43" s="65">
        <v>0</v>
      </c>
      <c r="AK43" s="65">
        <v>0</v>
      </c>
      <c r="AL43" s="65">
        <v>0</v>
      </c>
      <c r="AM43" s="65">
        <v>0</v>
      </c>
      <c r="AN43" s="33">
        <v>0</v>
      </c>
      <c r="AO43" s="833" t="str">
        <f t="shared" si="2"/>
        <v>Si</v>
      </c>
      <c r="AP43" s="33">
        <f t="shared" si="4"/>
        <v>0</v>
      </c>
    </row>
    <row r="44" spans="2:42" x14ac:dyDescent="0.3">
      <c r="B44" s="29" t="s">
        <v>544</v>
      </c>
      <c r="C44" s="19" t="s">
        <v>545</v>
      </c>
      <c r="D44" s="55">
        <v>46023</v>
      </c>
      <c r="E44" s="55">
        <v>46752</v>
      </c>
      <c r="F44" s="39">
        <f t="shared" si="0"/>
        <v>729</v>
      </c>
      <c r="G44" s="39" t="str">
        <f>+G45</f>
        <v>INICIO</v>
      </c>
      <c r="H44" s="39" t="str">
        <f>+H45</f>
        <v>FIN</v>
      </c>
      <c r="I44" s="64">
        <f>+I45</f>
        <v>0</v>
      </c>
      <c r="J44" s="32">
        <f t="shared" si="6"/>
        <v>0</v>
      </c>
      <c r="K44" s="564">
        <f>+SUM(K45)</f>
        <v>0</v>
      </c>
      <c r="L44" s="64">
        <f t="shared" ref="L44:AN44" si="18">+SUM(L45)</f>
        <v>0</v>
      </c>
      <c r="M44" s="64">
        <f t="shared" si="18"/>
        <v>0</v>
      </c>
      <c r="N44" s="64">
        <f t="shared" si="18"/>
        <v>0</v>
      </c>
      <c r="O44" s="64">
        <f t="shared" si="18"/>
        <v>0</v>
      </c>
      <c r="P44" s="32">
        <f t="shared" si="18"/>
        <v>0</v>
      </c>
      <c r="Q44" s="83">
        <f t="shared" si="18"/>
        <v>0</v>
      </c>
      <c r="R44" s="64">
        <f t="shared" si="18"/>
        <v>0</v>
      </c>
      <c r="S44" s="64">
        <f t="shared" si="18"/>
        <v>0</v>
      </c>
      <c r="T44" s="64">
        <f t="shared" si="18"/>
        <v>0</v>
      </c>
      <c r="U44" s="64">
        <f t="shared" si="18"/>
        <v>0</v>
      </c>
      <c r="V44" s="64">
        <f t="shared" si="18"/>
        <v>0</v>
      </c>
      <c r="W44" s="64">
        <f t="shared" si="18"/>
        <v>0</v>
      </c>
      <c r="X44" s="64">
        <f t="shared" si="18"/>
        <v>0</v>
      </c>
      <c r="Y44" s="64">
        <f t="shared" si="18"/>
        <v>0</v>
      </c>
      <c r="Z44" s="64">
        <f t="shared" si="18"/>
        <v>0</v>
      </c>
      <c r="AA44" s="64">
        <f t="shared" si="18"/>
        <v>0</v>
      </c>
      <c r="AB44" s="32">
        <f t="shared" si="18"/>
        <v>0</v>
      </c>
      <c r="AC44" s="83">
        <f t="shared" si="18"/>
        <v>0</v>
      </c>
      <c r="AD44" s="64">
        <f t="shared" si="18"/>
        <v>0</v>
      </c>
      <c r="AE44" s="64">
        <f t="shared" si="18"/>
        <v>0</v>
      </c>
      <c r="AF44" s="64">
        <f t="shared" si="18"/>
        <v>0</v>
      </c>
      <c r="AG44" s="64">
        <f t="shared" si="18"/>
        <v>0</v>
      </c>
      <c r="AH44" s="64">
        <f t="shared" si="18"/>
        <v>0</v>
      </c>
      <c r="AI44" s="64">
        <f t="shared" si="18"/>
        <v>0</v>
      </c>
      <c r="AJ44" s="64">
        <f t="shared" si="18"/>
        <v>0</v>
      </c>
      <c r="AK44" s="64">
        <f t="shared" si="18"/>
        <v>0</v>
      </c>
      <c r="AL44" s="64">
        <f t="shared" si="18"/>
        <v>0</v>
      </c>
      <c r="AM44" s="64">
        <f t="shared" si="18"/>
        <v>0</v>
      </c>
      <c r="AN44" s="32">
        <f t="shared" si="18"/>
        <v>0</v>
      </c>
      <c r="AO44" s="832" t="str">
        <f t="shared" si="2"/>
        <v>Si</v>
      </c>
      <c r="AP44" s="32">
        <f t="shared" si="4"/>
        <v>0</v>
      </c>
    </row>
    <row r="45" spans="2:42" ht="57.6" x14ac:dyDescent="0.3">
      <c r="B45" s="30" t="s">
        <v>546</v>
      </c>
      <c r="C45" s="2" t="s">
        <v>547</v>
      </c>
      <c r="D45" s="42">
        <v>46023</v>
      </c>
      <c r="E45" s="42">
        <v>46752</v>
      </c>
      <c r="F45" s="40">
        <f t="shared" si="0"/>
        <v>729</v>
      </c>
      <c r="G45" s="40" t="s">
        <v>490</v>
      </c>
      <c r="H45" s="40" t="s">
        <v>491</v>
      </c>
      <c r="I45" s="65">
        <v>0</v>
      </c>
      <c r="J45" s="33">
        <f t="shared" si="6"/>
        <v>0</v>
      </c>
      <c r="K45" s="622">
        <v>0</v>
      </c>
      <c r="L45" s="65">
        <v>0</v>
      </c>
      <c r="M45" s="65">
        <v>0</v>
      </c>
      <c r="N45" s="65">
        <v>0</v>
      </c>
      <c r="O45" s="65">
        <v>0</v>
      </c>
      <c r="P45" s="33">
        <v>0</v>
      </c>
      <c r="Q45" s="84">
        <v>0</v>
      </c>
      <c r="R45" s="65">
        <v>0</v>
      </c>
      <c r="S45" s="65">
        <v>0</v>
      </c>
      <c r="T45" s="65">
        <v>0</v>
      </c>
      <c r="U45" s="65">
        <v>0</v>
      </c>
      <c r="V45" s="65">
        <v>0</v>
      </c>
      <c r="W45" s="65">
        <v>0</v>
      </c>
      <c r="X45" s="65">
        <v>0</v>
      </c>
      <c r="Y45" s="65">
        <v>0</v>
      </c>
      <c r="Z45" s="65">
        <v>0</v>
      </c>
      <c r="AA45" s="65">
        <v>0</v>
      </c>
      <c r="AB45" s="33">
        <v>0</v>
      </c>
      <c r="AC45" s="84">
        <v>0</v>
      </c>
      <c r="AD45" s="65">
        <v>0</v>
      </c>
      <c r="AE45" s="65">
        <v>0</v>
      </c>
      <c r="AF45" s="65">
        <v>0</v>
      </c>
      <c r="AG45" s="65">
        <v>0</v>
      </c>
      <c r="AH45" s="65">
        <v>0</v>
      </c>
      <c r="AI45" s="65">
        <v>0</v>
      </c>
      <c r="AJ45" s="65">
        <v>0</v>
      </c>
      <c r="AK45" s="65">
        <v>0</v>
      </c>
      <c r="AL45" s="65">
        <v>0</v>
      </c>
      <c r="AM45" s="65">
        <v>0</v>
      </c>
      <c r="AN45" s="33">
        <v>0</v>
      </c>
      <c r="AO45" s="833" t="str">
        <f t="shared" si="2"/>
        <v>Si</v>
      </c>
      <c r="AP45" s="33">
        <f t="shared" si="4"/>
        <v>0</v>
      </c>
    </row>
    <row r="46" spans="2:42" x14ac:dyDescent="0.3">
      <c r="B46" s="29" t="s">
        <v>548</v>
      </c>
      <c r="C46" s="19" t="s">
        <v>29</v>
      </c>
      <c r="D46" s="55">
        <f>+D47</f>
        <v>46023</v>
      </c>
      <c r="E46" s="55">
        <f>+E47</f>
        <v>46752</v>
      </c>
      <c r="F46" s="39">
        <f t="shared" si="0"/>
        <v>729</v>
      </c>
      <c r="G46" s="39" t="str">
        <f>+B39</f>
        <v>1.1.5.</v>
      </c>
      <c r="H46" s="39" t="str">
        <f>+H47</f>
        <v>FIN</v>
      </c>
      <c r="I46" s="64">
        <f>+I47+15065000</f>
        <v>15065000</v>
      </c>
      <c r="J46" s="32">
        <f t="shared" si="6"/>
        <v>230000</v>
      </c>
      <c r="K46" s="564">
        <f>+K47</f>
        <v>0</v>
      </c>
      <c r="L46" s="64">
        <f t="shared" ref="L46:O46" si="19">+L47</f>
        <v>0</v>
      </c>
      <c r="M46" s="64">
        <f t="shared" si="19"/>
        <v>0</v>
      </c>
      <c r="N46" s="64">
        <f t="shared" si="19"/>
        <v>0</v>
      </c>
      <c r="O46" s="64">
        <f t="shared" si="19"/>
        <v>0</v>
      </c>
      <c r="P46" s="32"/>
      <c r="Q46" s="83">
        <v>20000</v>
      </c>
      <c r="R46" s="64">
        <v>20000</v>
      </c>
      <c r="S46" s="64">
        <v>20000</v>
      </c>
      <c r="T46" s="64">
        <v>20000</v>
      </c>
      <c r="U46" s="64">
        <v>52500</v>
      </c>
      <c r="V46" s="64">
        <v>32500</v>
      </c>
      <c r="W46" s="64">
        <v>0</v>
      </c>
      <c r="X46" s="64">
        <v>0</v>
      </c>
      <c r="Y46" s="64">
        <v>0</v>
      </c>
      <c r="Z46" s="64">
        <v>0</v>
      </c>
      <c r="AA46" s="64">
        <v>0</v>
      </c>
      <c r="AB46" s="32">
        <v>0</v>
      </c>
      <c r="AC46" s="83">
        <v>0</v>
      </c>
      <c r="AD46" s="64">
        <v>0</v>
      </c>
      <c r="AE46" s="64">
        <v>0</v>
      </c>
      <c r="AF46" s="64">
        <v>0</v>
      </c>
      <c r="AG46" s="64">
        <v>32500</v>
      </c>
      <c r="AH46" s="64">
        <v>32500</v>
      </c>
      <c r="AI46" s="64">
        <v>0</v>
      </c>
      <c r="AJ46" s="64">
        <v>0</v>
      </c>
      <c r="AK46" s="64">
        <v>0</v>
      </c>
      <c r="AL46" s="64">
        <v>0</v>
      </c>
      <c r="AM46" s="64">
        <v>0</v>
      </c>
      <c r="AN46" s="32">
        <v>0</v>
      </c>
      <c r="AO46" s="832" t="str">
        <f t="shared" si="2"/>
        <v>Si</v>
      </c>
      <c r="AP46" s="32">
        <f t="shared" si="4"/>
        <v>230000</v>
      </c>
    </row>
    <row r="47" spans="2:42" ht="57.6" x14ac:dyDescent="0.3">
      <c r="B47" s="30" t="s">
        <v>549</v>
      </c>
      <c r="C47" s="2" t="s">
        <v>547</v>
      </c>
      <c r="D47" s="42">
        <v>46023</v>
      </c>
      <c r="E47" s="42">
        <v>46752</v>
      </c>
      <c r="F47" s="40">
        <f t="shared" si="0"/>
        <v>729</v>
      </c>
      <c r="G47" s="40" t="str">
        <f>+B43</f>
        <v>1.1.5.4</v>
      </c>
      <c r="H47" s="40" t="s">
        <v>491</v>
      </c>
      <c r="I47" s="65">
        <v>0</v>
      </c>
      <c r="J47" s="33">
        <f t="shared" si="6"/>
        <v>0</v>
      </c>
      <c r="K47" s="622">
        <v>0</v>
      </c>
      <c r="L47" s="65">
        <v>0</v>
      </c>
      <c r="M47" s="65">
        <v>0</v>
      </c>
      <c r="N47" s="65">
        <v>0</v>
      </c>
      <c r="O47" s="65">
        <v>0</v>
      </c>
      <c r="P47" s="33">
        <v>0</v>
      </c>
      <c r="Q47" s="84">
        <v>0</v>
      </c>
      <c r="R47" s="65">
        <v>0</v>
      </c>
      <c r="S47" s="65">
        <v>0</v>
      </c>
      <c r="T47" s="65">
        <v>0</v>
      </c>
      <c r="U47" s="65">
        <v>0</v>
      </c>
      <c r="V47" s="65">
        <v>0</v>
      </c>
      <c r="W47" s="65">
        <v>0</v>
      </c>
      <c r="X47" s="65">
        <v>0</v>
      </c>
      <c r="Y47" s="65">
        <v>0</v>
      </c>
      <c r="Z47" s="65">
        <v>0</v>
      </c>
      <c r="AA47" s="65">
        <v>0</v>
      </c>
      <c r="AB47" s="33">
        <v>0</v>
      </c>
      <c r="AC47" s="84">
        <v>0</v>
      </c>
      <c r="AD47" s="65">
        <v>0</v>
      </c>
      <c r="AE47" s="65">
        <v>0</v>
      </c>
      <c r="AF47" s="65">
        <v>0</v>
      </c>
      <c r="AG47" s="65">
        <v>0</v>
      </c>
      <c r="AH47" s="65">
        <v>0</v>
      </c>
      <c r="AI47" s="65">
        <v>0</v>
      </c>
      <c r="AJ47" s="65">
        <v>0</v>
      </c>
      <c r="AK47" s="65">
        <v>0</v>
      </c>
      <c r="AL47" s="65">
        <v>0</v>
      </c>
      <c r="AM47" s="65">
        <v>0</v>
      </c>
      <c r="AN47" s="33">
        <v>0</v>
      </c>
      <c r="AO47" s="833" t="str">
        <f t="shared" si="2"/>
        <v>Si</v>
      </c>
      <c r="AP47" s="33">
        <f t="shared" si="4"/>
        <v>0</v>
      </c>
    </row>
    <row r="48" spans="2:42" x14ac:dyDescent="0.3">
      <c r="B48" s="29" t="s">
        <v>33</v>
      </c>
      <c r="C48" s="19" t="s">
        <v>34</v>
      </c>
      <c r="D48" s="55">
        <f>+D49</f>
        <v>45663</v>
      </c>
      <c r="E48" s="55">
        <f>+E102</f>
        <v>46234</v>
      </c>
      <c r="F48" s="39">
        <f t="shared" si="0"/>
        <v>571</v>
      </c>
      <c r="G48" s="39" t="str">
        <f>+G49</f>
        <v>INICIO</v>
      </c>
      <c r="H48" s="39" t="str">
        <f>+H102</f>
        <v>FIN</v>
      </c>
      <c r="I48" s="64">
        <f>+SUM(I49,I56,I62,I67,I84,I89,I94,I99)</f>
        <v>146283333.11500001</v>
      </c>
      <c r="J48" s="32">
        <f t="shared" si="6"/>
        <v>2233333.33</v>
      </c>
      <c r="K48" s="564">
        <f t="shared" ref="K48:AN48" si="20">+SUM(K49,K56,K62,K67,K84,K89,K94,K99)</f>
        <v>0</v>
      </c>
      <c r="L48" s="64">
        <f t="shared" si="20"/>
        <v>0</v>
      </c>
      <c r="M48" s="64">
        <f t="shared" si="20"/>
        <v>0</v>
      </c>
      <c r="N48" s="64">
        <f t="shared" si="20"/>
        <v>0</v>
      </c>
      <c r="O48" s="64">
        <f t="shared" si="20"/>
        <v>0</v>
      </c>
      <c r="P48" s="32">
        <f t="shared" si="20"/>
        <v>0</v>
      </c>
      <c r="Q48" s="83">
        <f t="shared" si="20"/>
        <v>0</v>
      </c>
      <c r="R48" s="64">
        <f t="shared" si="20"/>
        <v>406666.66600000003</v>
      </c>
      <c r="S48" s="64">
        <f t="shared" si="20"/>
        <v>400000</v>
      </c>
      <c r="T48" s="64">
        <f t="shared" si="20"/>
        <v>400000</v>
      </c>
      <c r="U48" s="64">
        <f t="shared" si="20"/>
        <v>16666.665000000001</v>
      </c>
      <c r="V48" s="64">
        <f t="shared" si="20"/>
        <v>0</v>
      </c>
      <c r="W48" s="64">
        <f t="shared" si="20"/>
        <v>0</v>
      </c>
      <c r="X48" s="64">
        <f t="shared" si="20"/>
        <v>209999.99900000001</v>
      </c>
      <c r="Y48" s="64">
        <f t="shared" si="20"/>
        <v>0</v>
      </c>
      <c r="Z48" s="64">
        <f t="shared" si="20"/>
        <v>0</v>
      </c>
      <c r="AA48" s="64">
        <f t="shared" si="20"/>
        <v>0</v>
      </c>
      <c r="AB48" s="32">
        <f t="shared" si="20"/>
        <v>0</v>
      </c>
      <c r="AC48" s="83">
        <f t="shared" si="20"/>
        <v>0</v>
      </c>
      <c r="AD48" s="64">
        <f t="shared" si="20"/>
        <v>500000</v>
      </c>
      <c r="AE48" s="64">
        <f t="shared" si="20"/>
        <v>0</v>
      </c>
      <c r="AF48" s="64">
        <f t="shared" si="20"/>
        <v>0</v>
      </c>
      <c r="AG48" s="64">
        <f t="shared" si="20"/>
        <v>0</v>
      </c>
      <c r="AH48" s="64">
        <f t="shared" si="20"/>
        <v>0</v>
      </c>
      <c r="AI48" s="64">
        <f t="shared" si="20"/>
        <v>0</v>
      </c>
      <c r="AJ48" s="64">
        <f t="shared" si="20"/>
        <v>300000</v>
      </c>
      <c r="AK48" s="64">
        <f t="shared" si="20"/>
        <v>0</v>
      </c>
      <c r="AL48" s="64">
        <f t="shared" si="20"/>
        <v>0</v>
      </c>
      <c r="AM48" s="64">
        <f t="shared" si="20"/>
        <v>0</v>
      </c>
      <c r="AN48" s="32">
        <f t="shared" si="20"/>
        <v>0</v>
      </c>
      <c r="AO48" s="832" t="str">
        <f t="shared" si="2"/>
        <v>Si</v>
      </c>
      <c r="AP48" s="32">
        <f t="shared" si="4"/>
        <v>2233333.33</v>
      </c>
    </row>
    <row r="49" spans="2:42" ht="28.8" x14ac:dyDescent="0.3">
      <c r="B49" s="30" t="s">
        <v>550</v>
      </c>
      <c r="C49" s="2" t="s">
        <v>551</v>
      </c>
      <c r="D49" s="42">
        <f>+D50</f>
        <v>45663</v>
      </c>
      <c r="E49" s="42" t="str">
        <f>+E55</f>
        <v>31/01/2026</v>
      </c>
      <c r="F49" s="40">
        <f t="shared" si="0"/>
        <v>390</v>
      </c>
      <c r="G49" s="40" t="str">
        <f>+G50</f>
        <v>INICIO</v>
      </c>
      <c r="H49" s="40" t="str">
        <f>+H55</f>
        <v>1.1.8.2.1</v>
      </c>
      <c r="I49" s="65">
        <f>+SUM(I50:I55)</f>
        <v>0</v>
      </c>
      <c r="J49" s="33">
        <f t="shared" si="6"/>
        <v>0</v>
      </c>
      <c r="K49" s="622">
        <f t="shared" ref="K49:AN49" si="21">+SUM(K50:K55)</f>
        <v>0</v>
      </c>
      <c r="L49" s="65">
        <f t="shared" si="21"/>
        <v>0</v>
      </c>
      <c r="M49" s="65">
        <f t="shared" si="21"/>
        <v>0</v>
      </c>
      <c r="N49" s="65">
        <f t="shared" si="21"/>
        <v>0</v>
      </c>
      <c r="O49" s="65">
        <f t="shared" si="21"/>
        <v>0</v>
      </c>
      <c r="P49" s="33">
        <f t="shared" si="21"/>
        <v>0</v>
      </c>
      <c r="Q49" s="84">
        <f t="shared" si="21"/>
        <v>0</v>
      </c>
      <c r="R49" s="65">
        <f t="shared" si="21"/>
        <v>0</v>
      </c>
      <c r="S49" s="65">
        <f t="shared" si="21"/>
        <v>0</v>
      </c>
      <c r="T49" s="65">
        <f t="shared" si="21"/>
        <v>0</v>
      </c>
      <c r="U49" s="65">
        <f t="shared" si="21"/>
        <v>0</v>
      </c>
      <c r="V49" s="65">
        <f t="shared" si="21"/>
        <v>0</v>
      </c>
      <c r="W49" s="65">
        <f t="shared" si="21"/>
        <v>0</v>
      </c>
      <c r="X49" s="65">
        <f t="shared" si="21"/>
        <v>0</v>
      </c>
      <c r="Y49" s="65">
        <f t="shared" si="21"/>
        <v>0</v>
      </c>
      <c r="Z49" s="65">
        <f t="shared" si="21"/>
        <v>0</v>
      </c>
      <c r="AA49" s="65">
        <f t="shared" si="21"/>
        <v>0</v>
      </c>
      <c r="AB49" s="33">
        <f t="shared" si="21"/>
        <v>0</v>
      </c>
      <c r="AC49" s="84">
        <f t="shared" si="21"/>
        <v>0</v>
      </c>
      <c r="AD49" s="65">
        <f t="shared" si="21"/>
        <v>0</v>
      </c>
      <c r="AE49" s="65">
        <f t="shared" si="21"/>
        <v>0</v>
      </c>
      <c r="AF49" s="65">
        <f t="shared" si="21"/>
        <v>0</v>
      </c>
      <c r="AG49" s="65">
        <f t="shared" si="21"/>
        <v>0</v>
      </c>
      <c r="AH49" s="65">
        <f t="shared" si="21"/>
        <v>0</v>
      </c>
      <c r="AI49" s="65">
        <f t="shared" si="21"/>
        <v>0</v>
      </c>
      <c r="AJ49" s="65">
        <f t="shared" si="21"/>
        <v>0</v>
      </c>
      <c r="AK49" s="65">
        <f t="shared" si="21"/>
        <v>0</v>
      </c>
      <c r="AL49" s="65">
        <f t="shared" si="21"/>
        <v>0</v>
      </c>
      <c r="AM49" s="65">
        <f t="shared" si="21"/>
        <v>0</v>
      </c>
      <c r="AN49" s="33">
        <f t="shared" si="21"/>
        <v>0</v>
      </c>
      <c r="AO49" s="833" t="str">
        <f t="shared" si="2"/>
        <v>Si</v>
      </c>
      <c r="AP49" s="33">
        <f t="shared" si="4"/>
        <v>0</v>
      </c>
    </row>
    <row r="50" spans="2:42" s="47" customFormat="1" x14ac:dyDescent="0.3">
      <c r="B50" s="48" t="s">
        <v>552</v>
      </c>
      <c r="C50" s="46" t="s">
        <v>553</v>
      </c>
      <c r="D50" s="49">
        <v>45663</v>
      </c>
      <c r="E50" s="49" t="s">
        <v>554</v>
      </c>
      <c r="F50" s="44">
        <f t="shared" si="0"/>
        <v>267</v>
      </c>
      <c r="G50" s="44" t="s">
        <v>490</v>
      </c>
      <c r="H50" s="44" t="s">
        <v>555</v>
      </c>
      <c r="I50" s="66">
        <v>0</v>
      </c>
      <c r="J50" s="45">
        <v>0</v>
      </c>
      <c r="K50" s="130">
        <v>0</v>
      </c>
      <c r="L50" s="66">
        <v>0</v>
      </c>
      <c r="M50" s="66">
        <v>0</v>
      </c>
      <c r="N50" s="66">
        <v>0</v>
      </c>
      <c r="O50" s="66">
        <v>0</v>
      </c>
      <c r="P50" s="45">
        <v>0</v>
      </c>
      <c r="Q50" s="85">
        <v>0</v>
      </c>
      <c r="R50" s="66">
        <v>0</v>
      </c>
      <c r="S50" s="66">
        <v>0</v>
      </c>
      <c r="T50" s="66">
        <v>0</v>
      </c>
      <c r="U50" s="66">
        <v>0</v>
      </c>
      <c r="V50" s="66">
        <v>0</v>
      </c>
      <c r="W50" s="66">
        <v>0</v>
      </c>
      <c r="X50" s="66">
        <v>0</v>
      </c>
      <c r="Y50" s="66">
        <v>0</v>
      </c>
      <c r="Z50" s="66">
        <v>0</v>
      </c>
      <c r="AA50" s="66">
        <v>0</v>
      </c>
      <c r="AB50" s="45">
        <v>0</v>
      </c>
      <c r="AC50" s="85">
        <v>0</v>
      </c>
      <c r="AD50" s="66">
        <v>0</v>
      </c>
      <c r="AE50" s="66">
        <v>0</v>
      </c>
      <c r="AF50" s="66">
        <v>0</v>
      </c>
      <c r="AG50" s="66">
        <v>0</v>
      </c>
      <c r="AH50" s="66">
        <v>0</v>
      </c>
      <c r="AI50" s="66">
        <v>0</v>
      </c>
      <c r="AJ50" s="66">
        <v>0</v>
      </c>
      <c r="AK50" s="66">
        <v>0</v>
      </c>
      <c r="AL50" s="66">
        <v>0</v>
      </c>
      <c r="AM50" s="66">
        <v>0</v>
      </c>
      <c r="AN50" s="45">
        <v>0</v>
      </c>
      <c r="AO50" s="834" t="str">
        <f t="shared" si="2"/>
        <v>Si</v>
      </c>
      <c r="AP50" s="45">
        <f t="shared" si="4"/>
        <v>0</v>
      </c>
    </row>
    <row r="51" spans="2:42" s="47" customFormat="1" x14ac:dyDescent="0.3">
      <c r="B51" s="48" t="s">
        <v>555</v>
      </c>
      <c r="C51" s="46" t="s">
        <v>556</v>
      </c>
      <c r="D51" s="49">
        <v>45667</v>
      </c>
      <c r="E51" s="49" t="s">
        <v>557</v>
      </c>
      <c r="F51" s="44">
        <f t="shared" si="0"/>
        <v>294</v>
      </c>
      <c r="G51" s="44" t="s">
        <v>558</v>
      </c>
      <c r="H51" s="44" t="s">
        <v>559</v>
      </c>
      <c r="I51" s="66">
        <v>0</v>
      </c>
      <c r="J51" s="45">
        <f t="shared" si="6"/>
        <v>0</v>
      </c>
      <c r="K51" s="130">
        <v>0</v>
      </c>
      <c r="L51" s="66">
        <v>0</v>
      </c>
      <c r="M51" s="66">
        <v>0</v>
      </c>
      <c r="N51" s="66">
        <v>0</v>
      </c>
      <c r="O51" s="66">
        <v>0</v>
      </c>
      <c r="P51" s="45">
        <v>0</v>
      </c>
      <c r="Q51" s="85">
        <v>0</v>
      </c>
      <c r="R51" s="66">
        <v>0</v>
      </c>
      <c r="S51" s="66">
        <v>0</v>
      </c>
      <c r="T51" s="66">
        <v>0</v>
      </c>
      <c r="U51" s="66">
        <v>0</v>
      </c>
      <c r="V51" s="66">
        <v>0</v>
      </c>
      <c r="W51" s="66">
        <v>0</v>
      </c>
      <c r="X51" s="66">
        <v>0</v>
      </c>
      <c r="Y51" s="66">
        <v>0</v>
      </c>
      <c r="Z51" s="66">
        <v>0</v>
      </c>
      <c r="AA51" s="66">
        <v>0</v>
      </c>
      <c r="AB51" s="45">
        <v>0</v>
      </c>
      <c r="AC51" s="85">
        <v>0</v>
      </c>
      <c r="AD51" s="66">
        <v>0</v>
      </c>
      <c r="AE51" s="66">
        <v>0</v>
      </c>
      <c r="AF51" s="66">
        <v>0</v>
      </c>
      <c r="AG51" s="66">
        <v>0</v>
      </c>
      <c r="AH51" s="66">
        <v>0</v>
      </c>
      <c r="AI51" s="66">
        <v>0</v>
      </c>
      <c r="AJ51" s="66">
        <v>0</v>
      </c>
      <c r="AK51" s="66">
        <v>0</v>
      </c>
      <c r="AL51" s="66">
        <v>0</v>
      </c>
      <c r="AM51" s="66">
        <v>0</v>
      </c>
      <c r="AN51" s="45">
        <v>0</v>
      </c>
      <c r="AO51" s="834" t="str">
        <f t="shared" si="2"/>
        <v>Si</v>
      </c>
      <c r="AP51" s="45">
        <f t="shared" si="4"/>
        <v>0</v>
      </c>
    </row>
    <row r="52" spans="2:42" s="47" customFormat="1" x14ac:dyDescent="0.3">
      <c r="B52" s="48" t="s">
        <v>559</v>
      </c>
      <c r="C52" s="46" t="s">
        <v>560</v>
      </c>
      <c r="D52" s="49">
        <v>45668</v>
      </c>
      <c r="E52" s="49" t="s">
        <v>561</v>
      </c>
      <c r="F52" s="44">
        <f t="shared" si="0"/>
        <v>308</v>
      </c>
      <c r="G52" s="44" t="s">
        <v>555</v>
      </c>
      <c r="H52" s="44" t="s">
        <v>562</v>
      </c>
      <c r="I52" s="66">
        <v>0</v>
      </c>
      <c r="J52" s="45">
        <f t="shared" si="6"/>
        <v>0</v>
      </c>
      <c r="K52" s="130">
        <v>0</v>
      </c>
      <c r="L52" s="66">
        <v>0</v>
      </c>
      <c r="M52" s="66">
        <v>0</v>
      </c>
      <c r="N52" s="66">
        <v>0</v>
      </c>
      <c r="O52" s="66">
        <v>0</v>
      </c>
      <c r="P52" s="45">
        <v>0</v>
      </c>
      <c r="Q52" s="85">
        <v>0</v>
      </c>
      <c r="R52" s="66">
        <v>0</v>
      </c>
      <c r="S52" s="66">
        <v>0</v>
      </c>
      <c r="T52" s="66">
        <v>0</v>
      </c>
      <c r="U52" s="66">
        <v>0</v>
      </c>
      <c r="V52" s="66">
        <v>0</v>
      </c>
      <c r="W52" s="66">
        <v>0</v>
      </c>
      <c r="X52" s="66">
        <v>0</v>
      </c>
      <c r="Y52" s="66">
        <v>0</v>
      </c>
      <c r="Z52" s="66">
        <v>0</v>
      </c>
      <c r="AA52" s="66">
        <v>0</v>
      </c>
      <c r="AB52" s="45">
        <v>0</v>
      </c>
      <c r="AC52" s="85">
        <v>0</v>
      </c>
      <c r="AD52" s="66">
        <v>0</v>
      </c>
      <c r="AE52" s="66">
        <v>0</v>
      </c>
      <c r="AF52" s="66">
        <v>0</v>
      </c>
      <c r="AG52" s="66">
        <v>0</v>
      </c>
      <c r="AH52" s="66">
        <v>0</v>
      </c>
      <c r="AI52" s="66">
        <v>0</v>
      </c>
      <c r="AJ52" s="66">
        <v>0</v>
      </c>
      <c r="AK52" s="66">
        <v>0</v>
      </c>
      <c r="AL52" s="66">
        <v>0</v>
      </c>
      <c r="AM52" s="66">
        <v>0</v>
      </c>
      <c r="AN52" s="45">
        <v>0</v>
      </c>
      <c r="AO52" s="834" t="str">
        <f t="shared" si="2"/>
        <v>Si</v>
      </c>
      <c r="AP52" s="45">
        <f t="shared" si="4"/>
        <v>0</v>
      </c>
    </row>
    <row r="53" spans="2:42" s="47" customFormat="1" x14ac:dyDescent="0.3">
      <c r="B53" s="48" t="s">
        <v>562</v>
      </c>
      <c r="C53" s="46" t="s">
        <v>563</v>
      </c>
      <c r="D53" s="49" t="s">
        <v>561</v>
      </c>
      <c r="E53" s="49" t="s">
        <v>564</v>
      </c>
      <c r="F53" s="44">
        <f t="shared" si="0"/>
        <v>15</v>
      </c>
      <c r="G53" s="44" t="s">
        <v>559</v>
      </c>
      <c r="H53" s="44" t="s">
        <v>565</v>
      </c>
      <c r="I53" s="66">
        <v>0</v>
      </c>
      <c r="J53" s="45">
        <f t="shared" si="6"/>
        <v>0</v>
      </c>
      <c r="K53" s="130">
        <v>0</v>
      </c>
      <c r="L53" s="66">
        <v>0</v>
      </c>
      <c r="M53" s="66">
        <v>0</v>
      </c>
      <c r="N53" s="66">
        <v>0</v>
      </c>
      <c r="O53" s="66">
        <v>0</v>
      </c>
      <c r="P53" s="45">
        <v>0</v>
      </c>
      <c r="Q53" s="85">
        <v>0</v>
      </c>
      <c r="R53" s="66">
        <v>0</v>
      </c>
      <c r="S53" s="66">
        <v>0</v>
      </c>
      <c r="T53" s="66">
        <v>0</v>
      </c>
      <c r="U53" s="66">
        <v>0</v>
      </c>
      <c r="V53" s="66">
        <v>0</v>
      </c>
      <c r="W53" s="66">
        <v>0</v>
      </c>
      <c r="X53" s="66">
        <v>0</v>
      </c>
      <c r="Y53" s="66">
        <v>0</v>
      </c>
      <c r="Z53" s="66">
        <v>0</v>
      </c>
      <c r="AA53" s="66">
        <v>0</v>
      </c>
      <c r="AB53" s="45">
        <v>0</v>
      </c>
      <c r="AC53" s="85">
        <v>0</v>
      </c>
      <c r="AD53" s="66">
        <v>0</v>
      </c>
      <c r="AE53" s="66">
        <v>0</v>
      </c>
      <c r="AF53" s="66">
        <v>0</v>
      </c>
      <c r="AG53" s="66">
        <v>0</v>
      </c>
      <c r="AH53" s="66">
        <v>0</v>
      </c>
      <c r="AI53" s="66">
        <v>0</v>
      </c>
      <c r="AJ53" s="66">
        <v>0</v>
      </c>
      <c r="AK53" s="66">
        <v>0</v>
      </c>
      <c r="AL53" s="66">
        <v>0</v>
      </c>
      <c r="AM53" s="66">
        <v>0</v>
      </c>
      <c r="AN53" s="45">
        <v>0</v>
      </c>
      <c r="AO53" s="834" t="str">
        <f t="shared" si="2"/>
        <v>Si</v>
      </c>
      <c r="AP53" s="45">
        <f t="shared" si="4"/>
        <v>0</v>
      </c>
    </row>
    <row r="54" spans="2:42" s="47" customFormat="1" x14ac:dyDescent="0.3">
      <c r="B54" s="48" t="s">
        <v>565</v>
      </c>
      <c r="C54" s="46" t="s">
        <v>566</v>
      </c>
      <c r="D54" s="49">
        <v>45669</v>
      </c>
      <c r="E54" s="49" t="s">
        <v>567</v>
      </c>
      <c r="F54" s="44">
        <f t="shared" si="0"/>
        <v>353</v>
      </c>
      <c r="G54" s="44" t="s">
        <v>562</v>
      </c>
      <c r="H54" s="44" t="s">
        <v>568</v>
      </c>
      <c r="I54" s="66">
        <v>0</v>
      </c>
      <c r="J54" s="45">
        <f t="shared" si="6"/>
        <v>0</v>
      </c>
      <c r="K54" s="130">
        <v>0</v>
      </c>
      <c r="L54" s="66">
        <v>0</v>
      </c>
      <c r="M54" s="66">
        <v>0</v>
      </c>
      <c r="N54" s="66">
        <v>0</v>
      </c>
      <c r="O54" s="66">
        <v>0</v>
      </c>
      <c r="P54" s="45">
        <v>0</v>
      </c>
      <c r="Q54" s="85">
        <v>0</v>
      </c>
      <c r="R54" s="66">
        <v>0</v>
      </c>
      <c r="S54" s="66">
        <v>0</v>
      </c>
      <c r="T54" s="66">
        <v>0</v>
      </c>
      <c r="U54" s="66">
        <v>0</v>
      </c>
      <c r="V54" s="66">
        <v>0</v>
      </c>
      <c r="W54" s="66">
        <v>0</v>
      </c>
      <c r="X54" s="66">
        <v>0</v>
      </c>
      <c r="Y54" s="66">
        <v>0</v>
      </c>
      <c r="Z54" s="66">
        <v>0</v>
      </c>
      <c r="AA54" s="66">
        <v>0</v>
      </c>
      <c r="AB54" s="45">
        <v>0</v>
      </c>
      <c r="AC54" s="85">
        <v>0</v>
      </c>
      <c r="AD54" s="66">
        <v>0</v>
      </c>
      <c r="AE54" s="66">
        <v>0</v>
      </c>
      <c r="AF54" s="66">
        <v>0</v>
      </c>
      <c r="AG54" s="66">
        <v>0</v>
      </c>
      <c r="AH54" s="66">
        <v>0</v>
      </c>
      <c r="AI54" s="66">
        <v>0</v>
      </c>
      <c r="AJ54" s="66">
        <v>0</v>
      </c>
      <c r="AK54" s="66">
        <v>0</v>
      </c>
      <c r="AL54" s="66">
        <v>0</v>
      </c>
      <c r="AM54" s="66">
        <v>0</v>
      </c>
      <c r="AN54" s="45">
        <v>0</v>
      </c>
      <c r="AO54" s="834" t="str">
        <f t="shared" si="2"/>
        <v>Si</v>
      </c>
      <c r="AP54" s="45">
        <f t="shared" si="4"/>
        <v>0</v>
      </c>
    </row>
    <row r="55" spans="2:42" s="47" customFormat="1" x14ac:dyDescent="0.3">
      <c r="B55" s="48" t="s">
        <v>568</v>
      </c>
      <c r="C55" s="46" t="s">
        <v>569</v>
      </c>
      <c r="D55" s="49">
        <v>46023</v>
      </c>
      <c r="E55" s="49" t="s">
        <v>570</v>
      </c>
      <c r="F55" s="44">
        <f t="shared" si="0"/>
        <v>30</v>
      </c>
      <c r="G55" s="44" t="s">
        <v>565</v>
      </c>
      <c r="H55" s="44" t="s">
        <v>571</v>
      </c>
      <c r="I55" s="66">
        <v>0</v>
      </c>
      <c r="J55" s="45">
        <f t="shared" si="6"/>
        <v>0</v>
      </c>
      <c r="K55" s="130">
        <v>0</v>
      </c>
      <c r="L55" s="66">
        <v>0</v>
      </c>
      <c r="M55" s="66">
        <v>0</v>
      </c>
      <c r="N55" s="66">
        <v>0</v>
      </c>
      <c r="O55" s="66">
        <v>0</v>
      </c>
      <c r="P55" s="45">
        <v>0</v>
      </c>
      <c r="Q55" s="85">
        <v>0</v>
      </c>
      <c r="R55" s="66">
        <v>0</v>
      </c>
      <c r="S55" s="66">
        <v>0</v>
      </c>
      <c r="T55" s="66">
        <v>0</v>
      </c>
      <c r="U55" s="66">
        <v>0</v>
      </c>
      <c r="V55" s="66">
        <v>0</v>
      </c>
      <c r="W55" s="66">
        <v>0</v>
      </c>
      <c r="X55" s="66">
        <v>0</v>
      </c>
      <c r="Y55" s="66">
        <v>0</v>
      </c>
      <c r="Z55" s="66">
        <v>0</v>
      </c>
      <c r="AA55" s="66">
        <v>0</v>
      </c>
      <c r="AB55" s="45">
        <v>0</v>
      </c>
      <c r="AC55" s="85">
        <v>0</v>
      </c>
      <c r="AD55" s="66">
        <v>0</v>
      </c>
      <c r="AE55" s="66">
        <v>0</v>
      </c>
      <c r="AF55" s="66">
        <v>0</v>
      </c>
      <c r="AG55" s="66">
        <v>0</v>
      </c>
      <c r="AH55" s="66">
        <v>0</v>
      </c>
      <c r="AI55" s="66">
        <v>0</v>
      </c>
      <c r="AJ55" s="66">
        <v>0</v>
      </c>
      <c r="AK55" s="66">
        <v>0</v>
      </c>
      <c r="AL55" s="66">
        <v>0</v>
      </c>
      <c r="AM55" s="66">
        <v>0</v>
      </c>
      <c r="AN55" s="45">
        <v>0</v>
      </c>
      <c r="AO55" s="834" t="str">
        <f t="shared" si="2"/>
        <v>Si</v>
      </c>
      <c r="AP55" s="45">
        <f t="shared" si="4"/>
        <v>0</v>
      </c>
    </row>
    <row r="56" spans="2:42" ht="29.4" customHeight="1" x14ac:dyDescent="0.3">
      <c r="B56" s="30" t="s">
        <v>572</v>
      </c>
      <c r="C56" s="2" t="s">
        <v>573</v>
      </c>
      <c r="D56" s="42">
        <f>+D57</f>
        <v>46023</v>
      </c>
      <c r="E56" s="42" t="str">
        <f>+E61</f>
        <v>31/03/2026</v>
      </c>
      <c r="F56" s="40">
        <f t="shared" si="0"/>
        <v>89</v>
      </c>
      <c r="G56" s="40" t="str">
        <f>+B49</f>
        <v>1.1.8.1</v>
      </c>
      <c r="H56" s="40" t="str">
        <f>+H61</f>
        <v>FIN</v>
      </c>
      <c r="I56" s="65">
        <f>+SUM(I57:I61)</f>
        <v>0</v>
      </c>
      <c r="J56" s="33">
        <f t="shared" si="6"/>
        <v>0</v>
      </c>
      <c r="K56" s="622">
        <f t="shared" ref="K56:AN56" si="22">+SUM(K57:K61)</f>
        <v>0</v>
      </c>
      <c r="L56" s="65">
        <f t="shared" si="22"/>
        <v>0</v>
      </c>
      <c r="M56" s="65">
        <f t="shared" si="22"/>
        <v>0</v>
      </c>
      <c r="N56" s="65">
        <f t="shared" si="22"/>
        <v>0</v>
      </c>
      <c r="O56" s="65">
        <f t="shared" si="22"/>
        <v>0</v>
      </c>
      <c r="P56" s="33">
        <f t="shared" si="22"/>
        <v>0</v>
      </c>
      <c r="Q56" s="84">
        <f t="shared" si="22"/>
        <v>0</v>
      </c>
      <c r="R56" s="65">
        <f t="shared" si="22"/>
        <v>0</v>
      </c>
      <c r="S56" s="65">
        <f t="shared" si="22"/>
        <v>0</v>
      </c>
      <c r="T56" s="65">
        <f t="shared" si="22"/>
        <v>0</v>
      </c>
      <c r="U56" s="65">
        <f t="shared" si="22"/>
        <v>0</v>
      </c>
      <c r="V56" s="65">
        <f t="shared" si="22"/>
        <v>0</v>
      </c>
      <c r="W56" s="65">
        <f t="shared" si="22"/>
        <v>0</v>
      </c>
      <c r="X56" s="65">
        <f t="shared" si="22"/>
        <v>0</v>
      </c>
      <c r="Y56" s="65">
        <f t="shared" si="22"/>
        <v>0</v>
      </c>
      <c r="Z56" s="65">
        <f t="shared" si="22"/>
        <v>0</v>
      </c>
      <c r="AA56" s="65">
        <f t="shared" si="22"/>
        <v>0</v>
      </c>
      <c r="AB56" s="33">
        <f t="shared" si="22"/>
        <v>0</v>
      </c>
      <c r="AC56" s="84">
        <f t="shared" si="22"/>
        <v>0</v>
      </c>
      <c r="AD56" s="65">
        <f t="shared" si="22"/>
        <v>0</v>
      </c>
      <c r="AE56" s="65">
        <f t="shared" si="22"/>
        <v>0</v>
      </c>
      <c r="AF56" s="65">
        <f t="shared" si="22"/>
        <v>0</v>
      </c>
      <c r="AG56" s="65">
        <f t="shared" si="22"/>
        <v>0</v>
      </c>
      <c r="AH56" s="65">
        <f t="shared" si="22"/>
        <v>0</v>
      </c>
      <c r="AI56" s="65">
        <f t="shared" si="22"/>
        <v>0</v>
      </c>
      <c r="AJ56" s="65">
        <f t="shared" si="22"/>
        <v>0</v>
      </c>
      <c r="AK56" s="65">
        <f t="shared" si="22"/>
        <v>0</v>
      </c>
      <c r="AL56" s="65">
        <f t="shared" si="22"/>
        <v>0</v>
      </c>
      <c r="AM56" s="65">
        <f t="shared" si="22"/>
        <v>0</v>
      </c>
      <c r="AN56" s="33">
        <f t="shared" si="22"/>
        <v>0</v>
      </c>
      <c r="AO56" s="833" t="str">
        <f t="shared" si="2"/>
        <v>Si</v>
      </c>
      <c r="AP56" s="33">
        <f t="shared" si="4"/>
        <v>0</v>
      </c>
    </row>
    <row r="57" spans="2:42" s="47" customFormat="1" x14ac:dyDescent="0.3">
      <c r="B57" s="48" t="s">
        <v>571</v>
      </c>
      <c r="C57" s="46" t="s">
        <v>574</v>
      </c>
      <c r="D57" s="49">
        <v>46023</v>
      </c>
      <c r="E57" s="49" t="s">
        <v>570</v>
      </c>
      <c r="F57" s="44">
        <f t="shared" si="0"/>
        <v>30</v>
      </c>
      <c r="G57" s="44" t="s">
        <v>568</v>
      </c>
      <c r="H57" s="44" t="s">
        <v>575</v>
      </c>
      <c r="I57" s="66">
        <v>0</v>
      </c>
      <c r="J57" s="45">
        <f t="shared" si="6"/>
        <v>0</v>
      </c>
      <c r="K57" s="130">
        <v>0</v>
      </c>
      <c r="L57" s="66">
        <v>0</v>
      </c>
      <c r="M57" s="66">
        <v>0</v>
      </c>
      <c r="N57" s="66">
        <v>0</v>
      </c>
      <c r="O57" s="66">
        <v>0</v>
      </c>
      <c r="P57" s="45">
        <v>0</v>
      </c>
      <c r="Q57" s="85">
        <v>0</v>
      </c>
      <c r="R57" s="66">
        <v>0</v>
      </c>
      <c r="S57" s="66">
        <v>0</v>
      </c>
      <c r="T57" s="66">
        <v>0</v>
      </c>
      <c r="U57" s="66">
        <v>0</v>
      </c>
      <c r="V57" s="66">
        <v>0</v>
      </c>
      <c r="W57" s="66">
        <v>0</v>
      </c>
      <c r="X57" s="66">
        <v>0</v>
      </c>
      <c r="Y57" s="66">
        <v>0</v>
      </c>
      <c r="Z57" s="66">
        <v>0</v>
      </c>
      <c r="AA57" s="66">
        <v>0</v>
      </c>
      <c r="AB57" s="45">
        <v>0</v>
      </c>
      <c r="AC57" s="85">
        <v>0</v>
      </c>
      <c r="AD57" s="66">
        <v>0</v>
      </c>
      <c r="AE57" s="66">
        <v>0</v>
      </c>
      <c r="AF57" s="66">
        <v>0</v>
      </c>
      <c r="AG57" s="66">
        <v>0</v>
      </c>
      <c r="AH57" s="66">
        <v>0</v>
      </c>
      <c r="AI57" s="66">
        <v>0</v>
      </c>
      <c r="AJ57" s="66">
        <v>0</v>
      </c>
      <c r="AK57" s="66">
        <v>0</v>
      </c>
      <c r="AL57" s="66">
        <v>0</v>
      </c>
      <c r="AM57" s="66">
        <v>0</v>
      </c>
      <c r="AN57" s="45">
        <v>0</v>
      </c>
      <c r="AO57" s="834" t="str">
        <f t="shared" si="2"/>
        <v>Si</v>
      </c>
      <c r="AP57" s="45">
        <f t="shared" si="4"/>
        <v>0</v>
      </c>
    </row>
    <row r="58" spans="2:42" s="47" customFormat="1" x14ac:dyDescent="0.3">
      <c r="B58" s="48" t="s">
        <v>575</v>
      </c>
      <c r="C58" s="46" t="s">
        <v>576</v>
      </c>
      <c r="D58" s="49">
        <v>46023</v>
      </c>
      <c r="E58" s="49" t="s">
        <v>570</v>
      </c>
      <c r="F58" s="44">
        <f t="shared" si="0"/>
        <v>30</v>
      </c>
      <c r="G58" s="44" t="s">
        <v>571</v>
      </c>
      <c r="H58" s="44" t="s">
        <v>577</v>
      </c>
      <c r="I58" s="66">
        <v>0</v>
      </c>
      <c r="J58" s="45">
        <f t="shared" si="6"/>
        <v>0</v>
      </c>
      <c r="K58" s="130">
        <v>0</v>
      </c>
      <c r="L58" s="66">
        <v>0</v>
      </c>
      <c r="M58" s="66">
        <v>0</v>
      </c>
      <c r="N58" s="66">
        <v>0</v>
      </c>
      <c r="O58" s="66">
        <v>0</v>
      </c>
      <c r="P58" s="45">
        <v>0</v>
      </c>
      <c r="Q58" s="85">
        <v>0</v>
      </c>
      <c r="R58" s="66">
        <v>0</v>
      </c>
      <c r="S58" s="66">
        <v>0</v>
      </c>
      <c r="T58" s="66">
        <v>0</v>
      </c>
      <c r="U58" s="66">
        <v>0</v>
      </c>
      <c r="V58" s="66">
        <v>0</v>
      </c>
      <c r="W58" s="66">
        <v>0</v>
      </c>
      <c r="X58" s="66">
        <v>0</v>
      </c>
      <c r="Y58" s="66">
        <v>0</v>
      </c>
      <c r="Z58" s="66">
        <v>0</v>
      </c>
      <c r="AA58" s="66">
        <v>0</v>
      </c>
      <c r="AB58" s="45">
        <v>0</v>
      </c>
      <c r="AC58" s="85">
        <v>0</v>
      </c>
      <c r="AD58" s="66">
        <v>0</v>
      </c>
      <c r="AE58" s="66">
        <v>0</v>
      </c>
      <c r="AF58" s="66">
        <v>0</v>
      </c>
      <c r="AG58" s="66">
        <v>0</v>
      </c>
      <c r="AH58" s="66">
        <v>0</v>
      </c>
      <c r="AI58" s="66">
        <v>0</v>
      </c>
      <c r="AJ58" s="66">
        <v>0</v>
      </c>
      <c r="AK58" s="66">
        <v>0</v>
      </c>
      <c r="AL58" s="66">
        <v>0</v>
      </c>
      <c r="AM58" s="66">
        <v>0</v>
      </c>
      <c r="AN58" s="45">
        <v>0</v>
      </c>
      <c r="AO58" s="834" t="str">
        <f t="shared" si="2"/>
        <v>Si</v>
      </c>
      <c r="AP58" s="45">
        <f t="shared" si="4"/>
        <v>0</v>
      </c>
    </row>
    <row r="59" spans="2:42" s="47" customFormat="1" x14ac:dyDescent="0.3">
      <c r="B59" s="48" t="s">
        <v>577</v>
      </c>
      <c r="C59" s="46" t="s">
        <v>578</v>
      </c>
      <c r="D59" s="49">
        <v>46023</v>
      </c>
      <c r="E59" s="49" t="s">
        <v>570</v>
      </c>
      <c r="F59" s="44">
        <f t="shared" si="0"/>
        <v>30</v>
      </c>
      <c r="G59" s="44" t="s">
        <v>575</v>
      </c>
      <c r="H59" s="44" t="s">
        <v>579</v>
      </c>
      <c r="I59" s="66">
        <v>0</v>
      </c>
      <c r="J59" s="45">
        <f t="shared" si="6"/>
        <v>0</v>
      </c>
      <c r="K59" s="130">
        <v>0</v>
      </c>
      <c r="L59" s="66">
        <v>0</v>
      </c>
      <c r="M59" s="66">
        <v>0</v>
      </c>
      <c r="N59" s="66">
        <v>0</v>
      </c>
      <c r="O59" s="66">
        <v>0</v>
      </c>
      <c r="P59" s="45">
        <v>0</v>
      </c>
      <c r="Q59" s="85">
        <v>0</v>
      </c>
      <c r="R59" s="66">
        <v>0</v>
      </c>
      <c r="S59" s="66">
        <v>0</v>
      </c>
      <c r="T59" s="66">
        <v>0</v>
      </c>
      <c r="U59" s="66">
        <v>0</v>
      </c>
      <c r="V59" s="66">
        <v>0</v>
      </c>
      <c r="W59" s="66">
        <v>0</v>
      </c>
      <c r="X59" s="66">
        <v>0</v>
      </c>
      <c r="Y59" s="66">
        <v>0</v>
      </c>
      <c r="Z59" s="66">
        <v>0</v>
      </c>
      <c r="AA59" s="66">
        <v>0</v>
      </c>
      <c r="AB59" s="45">
        <v>0</v>
      </c>
      <c r="AC59" s="85">
        <v>0</v>
      </c>
      <c r="AD59" s="66">
        <v>0</v>
      </c>
      <c r="AE59" s="66">
        <v>0</v>
      </c>
      <c r="AF59" s="66">
        <v>0</v>
      </c>
      <c r="AG59" s="66">
        <v>0</v>
      </c>
      <c r="AH59" s="66">
        <v>0</v>
      </c>
      <c r="AI59" s="66">
        <v>0</v>
      </c>
      <c r="AJ59" s="66">
        <v>0</v>
      </c>
      <c r="AK59" s="66">
        <v>0</v>
      </c>
      <c r="AL59" s="66">
        <v>0</v>
      </c>
      <c r="AM59" s="66">
        <v>0</v>
      </c>
      <c r="AN59" s="45">
        <v>0</v>
      </c>
      <c r="AO59" s="834" t="str">
        <f t="shared" si="2"/>
        <v>Si</v>
      </c>
      <c r="AP59" s="45">
        <f t="shared" si="4"/>
        <v>0</v>
      </c>
    </row>
    <row r="60" spans="2:42" s="47" customFormat="1" x14ac:dyDescent="0.3">
      <c r="B60" s="48" t="s">
        <v>579</v>
      </c>
      <c r="C60" s="46" t="s">
        <v>580</v>
      </c>
      <c r="D60" s="49">
        <v>46024</v>
      </c>
      <c r="E60" s="49" t="s">
        <v>581</v>
      </c>
      <c r="F60" s="44">
        <f t="shared" si="0"/>
        <v>57</v>
      </c>
      <c r="G60" s="44" t="s">
        <v>577</v>
      </c>
      <c r="H60" s="44" t="s">
        <v>582</v>
      </c>
      <c r="I60" s="66">
        <v>0</v>
      </c>
      <c r="J60" s="45">
        <f t="shared" si="6"/>
        <v>0</v>
      </c>
      <c r="K60" s="130">
        <v>0</v>
      </c>
      <c r="L60" s="66">
        <v>0</v>
      </c>
      <c r="M60" s="66">
        <v>0</v>
      </c>
      <c r="N60" s="66">
        <v>0</v>
      </c>
      <c r="O60" s="66">
        <v>0</v>
      </c>
      <c r="P60" s="45">
        <v>0</v>
      </c>
      <c r="Q60" s="85">
        <v>0</v>
      </c>
      <c r="R60" s="66">
        <v>0</v>
      </c>
      <c r="S60" s="66">
        <v>0</v>
      </c>
      <c r="T60" s="66">
        <v>0</v>
      </c>
      <c r="U60" s="66">
        <v>0</v>
      </c>
      <c r="V60" s="66">
        <v>0</v>
      </c>
      <c r="W60" s="66">
        <v>0</v>
      </c>
      <c r="X60" s="66">
        <v>0</v>
      </c>
      <c r="Y60" s="66">
        <v>0</v>
      </c>
      <c r="Z60" s="66">
        <v>0</v>
      </c>
      <c r="AA60" s="66">
        <v>0</v>
      </c>
      <c r="AB60" s="45">
        <v>0</v>
      </c>
      <c r="AC60" s="85">
        <v>0</v>
      </c>
      <c r="AD60" s="66">
        <v>0</v>
      </c>
      <c r="AE60" s="66">
        <v>0</v>
      </c>
      <c r="AF60" s="66">
        <v>0</v>
      </c>
      <c r="AG60" s="66">
        <v>0</v>
      </c>
      <c r="AH60" s="66">
        <v>0</v>
      </c>
      <c r="AI60" s="66">
        <v>0</v>
      </c>
      <c r="AJ60" s="66">
        <v>0</v>
      </c>
      <c r="AK60" s="66">
        <v>0</v>
      </c>
      <c r="AL60" s="66">
        <v>0</v>
      </c>
      <c r="AM60" s="66">
        <v>0</v>
      </c>
      <c r="AN60" s="45">
        <v>0</v>
      </c>
      <c r="AO60" s="834" t="str">
        <f t="shared" si="2"/>
        <v>Si</v>
      </c>
      <c r="AP60" s="45">
        <f t="shared" si="4"/>
        <v>0</v>
      </c>
    </row>
    <row r="61" spans="2:42" s="47" customFormat="1" x14ac:dyDescent="0.3">
      <c r="B61" s="48" t="s">
        <v>582</v>
      </c>
      <c r="C61" s="46" t="s">
        <v>583</v>
      </c>
      <c r="D61" s="49" t="s">
        <v>581</v>
      </c>
      <c r="E61" s="49" t="s">
        <v>584</v>
      </c>
      <c r="F61" s="44">
        <f t="shared" si="0"/>
        <v>31</v>
      </c>
      <c r="G61" s="44" t="s">
        <v>579</v>
      </c>
      <c r="H61" s="44" t="s">
        <v>491</v>
      </c>
      <c r="I61" s="66">
        <v>0</v>
      </c>
      <c r="J61" s="45">
        <f t="shared" si="6"/>
        <v>0</v>
      </c>
      <c r="K61" s="130">
        <v>0</v>
      </c>
      <c r="L61" s="66">
        <v>0</v>
      </c>
      <c r="M61" s="66">
        <v>0</v>
      </c>
      <c r="N61" s="66">
        <v>0</v>
      </c>
      <c r="O61" s="66">
        <v>0</v>
      </c>
      <c r="P61" s="45">
        <v>0</v>
      </c>
      <c r="Q61" s="85">
        <v>0</v>
      </c>
      <c r="R61" s="66">
        <v>0</v>
      </c>
      <c r="S61" s="66">
        <v>0</v>
      </c>
      <c r="T61" s="66">
        <v>0</v>
      </c>
      <c r="U61" s="66">
        <v>0</v>
      </c>
      <c r="V61" s="66">
        <v>0</v>
      </c>
      <c r="W61" s="66">
        <v>0</v>
      </c>
      <c r="X61" s="66">
        <v>0</v>
      </c>
      <c r="Y61" s="66">
        <v>0</v>
      </c>
      <c r="Z61" s="66">
        <v>0</v>
      </c>
      <c r="AA61" s="66">
        <v>0</v>
      </c>
      <c r="AB61" s="45">
        <v>0</v>
      </c>
      <c r="AC61" s="85">
        <v>0</v>
      </c>
      <c r="AD61" s="66">
        <v>0</v>
      </c>
      <c r="AE61" s="66">
        <v>0</v>
      </c>
      <c r="AF61" s="66">
        <v>0</v>
      </c>
      <c r="AG61" s="66">
        <v>0</v>
      </c>
      <c r="AH61" s="66">
        <v>0</v>
      </c>
      <c r="AI61" s="66">
        <v>0</v>
      </c>
      <c r="AJ61" s="66">
        <v>0</v>
      </c>
      <c r="AK61" s="66">
        <v>0</v>
      </c>
      <c r="AL61" s="66">
        <v>0</v>
      </c>
      <c r="AM61" s="66">
        <v>0</v>
      </c>
      <c r="AN61" s="45">
        <v>0</v>
      </c>
      <c r="AO61" s="834" t="str">
        <f t="shared" si="2"/>
        <v>Si</v>
      </c>
      <c r="AP61" s="45">
        <f t="shared" si="4"/>
        <v>0</v>
      </c>
    </row>
    <row r="62" spans="2:42" ht="28.8" x14ac:dyDescent="0.3">
      <c r="B62" s="30" t="s">
        <v>585</v>
      </c>
      <c r="C62" s="2" t="s">
        <v>586</v>
      </c>
      <c r="D62" s="42" t="str">
        <f>+D63</f>
        <v>31/3/2026</v>
      </c>
      <c r="E62" s="42" t="str">
        <f>+E66</f>
        <v>15/01/2027</v>
      </c>
      <c r="F62" s="40">
        <f t="shared" si="0"/>
        <v>290</v>
      </c>
      <c r="G62" s="40" t="str">
        <f>+G63</f>
        <v>INICIO</v>
      </c>
      <c r="H62" s="40" t="str">
        <f>+H66</f>
        <v>FIN</v>
      </c>
      <c r="I62" s="65">
        <f>+SUM(I63:I66)</f>
        <v>0</v>
      </c>
      <c r="J62" s="33">
        <f t="shared" si="6"/>
        <v>0</v>
      </c>
      <c r="K62" s="622">
        <f t="shared" ref="K62:AN62" si="23">+SUM(K63:K66)</f>
        <v>0</v>
      </c>
      <c r="L62" s="65">
        <f t="shared" si="23"/>
        <v>0</v>
      </c>
      <c r="M62" s="65">
        <f t="shared" si="23"/>
        <v>0</v>
      </c>
      <c r="N62" s="65">
        <f t="shared" si="23"/>
        <v>0</v>
      </c>
      <c r="O62" s="65">
        <f t="shared" si="23"/>
        <v>0</v>
      </c>
      <c r="P62" s="33">
        <f t="shared" si="23"/>
        <v>0</v>
      </c>
      <c r="Q62" s="84">
        <f t="shared" si="23"/>
        <v>0</v>
      </c>
      <c r="R62" s="65">
        <f t="shared" si="23"/>
        <v>0</v>
      </c>
      <c r="S62" s="65">
        <f t="shared" si="23"/>
        <v>0</v>
      </c>
      <c r="T62" s="65">
        <f t="shared" si="23"/>
        <v>0</v>
      </c>
      <c r="U62" s="65">
        <f t="shared" si="23"/>
        <v>0</v>
      </c>
      <c r="V62" s="65">
        <f t="shared" si="23"/>
        <v>0</v>
      </c>
      <c r="W62" s="65">
        <f t="shared" si="23"/>
        <v>0</v>
      </c>
      <c r="X62" s="65">
        <f t="shared" si="23"/>
        <v>0</v>
      </c>
      <c r="Y62" s="65">
        <f t="shared" si="23"/>
        <v>0</v>
      </c>
      <c r="Z62" s="65">
        <f t="shared" si="23"/>
        <v>0</v>
      </c>
      <c r="AA62" s="65">
        <f t="shared" si="23"/>
        <v>0</v>
      </c>
      <c r="AB62" s="33">
        <f t="shared" si="23"/>
        <v>0</v>
      </c>
      <c r="AC62" s="84">
        <f t="shared" si="23"/>
        <v>0</v>
      </c>
      <c r="AD62" s="65">
        <f t="shared" si="23"/>
        <v>0</v>
      </c>
      <c r="AE62" s="65">
        <f t="shared" si="23"/>
        <v>0</v>
      </c>
      <c r="AF62" s="65">
        <f t="shared" si="23"/>
        <v>0</v>
      </c>
      <c r="AG62" s="65">
        <f t="shared" si="23"/>
        <v>0</v>
      </c>
      <c r="AH62" s="65">
        <f t="shared" si="23"/>
        <v>0</v>
      </c>
      <c r="AI62" s="65">
        <f t="shared" si="23"/>
        <v>0</v>
      </c>
      <c r="AJ62" s="65">
        <f t="shared" si="23"/>
        <v>0</v>
      </c>
      <c r="AK62" s="65">
        <f t="shared" si="23"/>
        <v>0</v>
      </c>
      <c r="AL62" s="65">
        <f t="shared" si="23"/>
        <v>0</v>
      </c>
      <c r="AM62" s="65">
        <f t="shared" si="23"/>
        <v>0</v>
      </c>
      <c r="AN62" s="33">
        <f t="shared" si="23"/>
        <v>0</v>
      </c>
      <c r="AO62" s="833" t="str">
        <f t="shared" si="2"/>
        <v>Si</v>
      </c>
      <c r="AP62" s="33">
        <f t="shared" si="4"/>
        <v>0</v>
      </c>
    </row>
    <row r="63" spans="2:42" s="47" customFormat="1" x14ac:dyDescent="0.3">
      <c r="B63" s="48" t="s">
        <v>587</v>
      </c>
      <c r="C63" s="46" t="s">
        <v>588</v>
      </c>
      <c r="D63" s="49" t="s">
        <v>589</v>
      </c>
      <c r="E63" s="49" t="s">
        <v>590</v>
      </c>
      <c r="F63" s="44">
        <f t="shared" si="0"/>
        <v>290</v>
      </c>
      <c r="G63" s="44" t="s">
        <v>490</v>
      </c>
      <c r="H63" s="44" t="s">
        <v>591</v>
      </c>
      <c r="I63" s="66">
        <v>0</v>
      </c>
      <c r="J63" s="45">
        <f t="shared" si="6"/>
        <v>0</v>
      </c>
      <c r="K63" s="130">
        <v>0</v>
      </c>
      <c r="L63" s="66">
        <v>0</v>
      </c>
      <c r="M63" s="66">
        <v>0</v>
      </c>
      <c r="N63" s="66">
        <v>0</v>
      </c>
      <c r="O63" s="66">
        <v>0</v>
      </c>
      <c r="P63" s="45">
        <v>0</v>
      </c>
      <c r="Q63" s="85">
        <v>0</v>
      </c>
      <c r="R63" s="66">
        <v>0</v>
      </c>
      <c r="S63" s="66">
        <v>0</v>
      </c>
      <c r="T63" s="66">
        <v>0</v>
      </c>
      <c r="U63" s="66">
        <v>0</v>
      </c>
      <c r="V63" s="66">
        <v>0</v>
      </c>
      <c r="W63" s="66">
        <v>0</v>
      </c>
      <c r="X63" s="66">
        <v>0</v>
      </c>
      <c r="Y63" s="66">
        <v>0</v>
      </c>
      <c r="Z63" s="66">
        <v>0</v>
      </c>
      <c r="AA63" s="66">
        <v>0</v>
      </c>
      <c r="AB63" s="45">
        <v>0</v>
      </c>
      <c r="AC63" s="85">
        <v>0</v>
      </c>
      <c r="AD63" s="66">
        <v>0</v>
      </c>
      <c r="AE63" s="66">
        <v>0</v>
      </c>
      <c r="AF63" s="66">
        <v>0</v>
      </c>
      <c r="AG63" s="66">
        <v>0</v>
      </c>
      <c r="AH63" s="66">
        <v>0</v>
      </c>
      <c r="AI63" s="66">
        <v>0</v>
      </c>
      <c r="AJ63" s="66">
        <v>0</v>
      </c>
      <c r="AK63" s="66">
        <v>0</v>
      </c>
      <c r="AL63" s="66">
        <v>0</v>
      </c>
      <c r="AM63" s="66">
        <v>0</v>
      </c>
      <c r="AN63" s="45">
        <v>0</v>
      </c>
      <c r="AO63" s="834" t="str">
        <f t="shared" si="2"/>
        <v>Si</v>
      </c>
      <c r="AP63" s="45">
        <f t="shared" si="4"/>
        <v>0</v>
      </c>
    </row>
    <row r="64" spans="2:42" s="47" customFormat="1" x14ac:dyDescent="0.3">
      <c r="B64" s="48" t="s">
        <v>591</v>
      </c>
      <c r="C64" s="46" t="s">
        <v>592</v>
      </c>
      <c r="D64" s="49" t="s">
        <v>589</v>
      </c>
      <c r="E64" s="49" t="s">
        <v>590</v>
      </c>
      <c r="F64" s="44">
        <f t="shared" si="0"/>
        <v>290</v>
      </c>
      <c r="G64" s="44" t="s">
        <v>587</v>
      </c>
      <c r="H64" s="44" t="s">
        <v>593</v>
      </c>
      <c r="I64" s="66">
        <v>0</v>
      </c>
      <c r="J64" s="45">
        <f t="shared" si="6"/>
        <v>0</v>
      </c>
      <c r="K64" s="130">
        <v>0</v>
      </c>
      <c r="L64" s="66">
        <v>0</v>
      </c>
      <c r="M64" s="66">
        <v>0</v>
      </c>
      <c r="N64" s="66">
        <v>0</v>
      </c>
      <c r="O64" s="66">
        <v>0</v>
      </c>
      <c r="P64" s="45">
        <v>0</v>
      </c>
      <c r="Q64" s="85">
        <v>0</v>
      </c>
      <c r="R64" s="66">
        <v>0</v>
      </c>
      <c r="S64" s="66">
        <v>0</v>
      </c>
      <c r="T64" s="66">
        <v>0</v>
      </c>
      <c r="U64" s="66">
        <v>0</v>
      </c>
      <c r="V64" s="66">
        <v>0</v>
      </c>
      <c r="W64" s="66">
        <v>0</v>
      </c>
      <c r="X64" s="66">
        <v>0</v>
      </c>
      <c r="Y64" s="66">
        <v>0</v>
      </c>
      <c r="Z64" s="66">
        <v>0</v>
      </c>
      <c r="AA64" s="66">
        <v>0</v>
      </c>
      <c r="AB64" s="45">
        <v>0</v>
      </c>
      <c r="AC64" s="85">
        <v>0</v>
      </c>
      <c r="AD64" s="66">
        <v>0</v>
      </c>
      <c r="AE64" s="66">
        <v>0</v>
      </c>
      <c r="AF64" s="66">
        <v>0</v>
      </c>
      <c r="AG64" s="66">
        <v>0</v>
      </c>
      <c r="AH64" s="66">
        <v>0</v>
      </c>
      <c r="AI64" s="66">
        <v>0</v>
      </c>
      <c r="AJ64" s="66">
        <v>0</v>
      </c>
      <c r="AK64" s="66">
        <v>0</v>
      </c>
      <c r="AL64" s="66">
        <v>0</v>
      </c>
      <c r="AM64" s="66">
        <v>0</v>
      </c>
      <c r="AN64" s="45">
        <v>0</v>
      </c>
      <c r="AO64" s="834" t="str">
        <f t="shared" si="2"/>
        <v>Si</v>
      </c>
      <c r="AP64" s="45">
        <f t="shared" si="4"/>
        <v>0</v>
      </c>
    </row>
    <row r="65" spans="2:42" s="47" customFormat="1" x14ac:dyDescent="0.3">
      <c r="B65" s="48" t="s">
        <v>593</v>
      </c>
      <c r="C65" s="46" t="s">
        <v>594</v>
      </c>
      <c r="D65" s="49" t="s">
        <v>589</v>
      </c>
      <c r="E65" s="49" t="s">
        <v>590</v>
      </c>
      <c r="F65" s="44">
        <f t="shared" si="0"/>
        <v>290</v>
      </c>
      <c r="G65" s="44" t="s">
        <v>591</v>
      </c>
      <c r="H65" s="44" t="s">
        <v>595</v>
      </c>
      <c r="I65" s="66">
        <v>0</v>
      </c>
      <c r="J65" s="45">
        <f t="shared" si="6"/>
        <v>0</v>
      </c>
      <c r="K65" s="130">
        <v>0</v>
      </c>
      <c r="L65" s="66">
        <v>0</v>
      </c>
      <c r="M65" s="66">
        <v>0</v>
      </c>
      <c r="N65" s="66">
        <v>0</v>
      </c>
      <c r="O65" s="66">
        <v>0</v>
      </c>
      <c r="P65" s="45">
        <v>0</v>
      </c>
      <c r="Q65" s="85">
        <v>0</v>
      </c>
      <c r="R65" s="66">
        <v>0</v>
      </c>
      <c r="S65" s="66">
        <v>0</v>
      </c>
      <c r="T65" s="66">
        <v>0</v>
      </c>
      <c r="U65" s="66">
        <v>0</v>
      </c>
      <c r="V65" s="66">
        <v>0</v>
      </c>
      <c r="W65" s="66">
        <v>0</v>
      </c>
      <c r="X65" s="66">
        <v>0</v>
      </c>
      <c r="Y65" s="66">
        <v>0</v>
      </c>
      <c r="Z65" s="66">
        <v>0</v>
      </c>
      <c r="AA65" s="66">
        <v>0</v>
      </c>
      <c r="AB65" s="45">
        <v>0</v>
      </c>
      <c r="AC65" s="85">
        <v>0</v>
      </c>
      <c r="AD65" s="66">
        <v>0</v>
      </c>
      <c r="AE65" s="66">
        <v>0</v>
      </c>
      <c r="AF65" s="66">
        <v>0</v>
      </c>
      <c r="AG65" s="66">
        <v>0</v>
      </c>
      <c r="AH65" s="66">
        <v>0</v>
      </c>
      <c r="AI65" s="66">
        <v>0</v>
      </c>
      <c r="AJ65" s="66">
        <v>0</v>
      </c>
      <c r="AK65" s="66">
        <v>0</v>
      </c>
      <c r="AL65" s="66">
        <v>0</v>
      </c>
      <c r="AM65" s="66">
        <v>0</v>
      </c>
      <c r="AN65" s="45">
        <v>0</v>
      </c>
      <c r="AO65" s="834" t="str">
        <f t="shared" si="2"/>
        <v>Si</v>
      </c>
      <c r="AP65" s="45">
        <f t="shared" si="4"/>
        <v>0</v>
      </c>
    </row>
    <row r="66" spans="2:42" s="47" customFormat="1" x14ac:dyDescent="0.3">
      <c r="B66" s="48" t="s">
        <v>595</v>
      </c>
      <c r="C66" s="46" t="s">
        <v>596</v>
      </c>
      <c r="D66" s="49" t="s">
        <v>589</v>
      </c>
      <c r="E66" s="49" t="s">
        <v>590</v>
      </c>
      <c r="F66" s="44">
        <f t="shared" si="0"/>
        <v>290</v>
      </c>
      <c r="G66" s="44" t="s">
        <v>593</v>
      </c>
      <c r="H66" s="44" t="s">
        <v>491</v>
      </c>
      <c r="I66" s="66">
        <v>0</v>
      </c>
      <c r="J66" s="45">
        <f t="shared" si="6"/>
        <v>0</v>
      </c>
      <c r="K66" s="130">
        <v>0</v>
      </c>
      <c r="L66" s="66">
        <v>0</v>
      </c>
      <c r="M66" s="66">
        <v>0</v>
      </c>
      <c r="N66" s="66">
        <v>0</v>
      </c>
      <c r="O66" s="66">
        <v>0</v>
      </c>
      <c r="P66" s="45">
        <v>0</v>
      </c>
      <c r="Q66" s="85">
        <v>0</v>
      </c>
      <c r="R66" s="66">
        <v>0</v>
      </c>
      <c r="S66" s="66">
        <v>0</v>
      </c>
      <c r="T66" s="66">
        <v>0</v>
      </c>
      <c r="U66" s="66">
        <v>0</v>
      </c>
      <c r="V66" s="66">
        <v>0</v>
      </c>
      <c r="W66" s="66">
        <v>0</v>
      </c>
      <c r="X66" s="66">
        <v>0</v>
      </c>
      <c r="Y66" s="66">
        <v>0</v>
      </c>
      <c r="Z66" s="66">
        <v>0</v>
      </c>
      <c r="AA66" s="66">
        <v>0</v>
      </c>
      <c r="AB66" s="45">
        <v>0</v>
      </c>
      <c r="AC66" s="85">
        <v>0</v>
      </c>
      <c r="AD66" s="66">
        <v>0</v>
      </c>
      <c r="AE66" s="66">
        <v>0</v>
      </c>
      <c r="AF66" s="66">
        <v>0</v>
      </c>
      <c r="AG66" s="66">
        <v>0</v>
      </c>
      <c r="AH66" s="66">
        <v>0</v>
      </c>
      <c r="AI66" s="66">
        <v>0</v>
      </c>
      <c r="AJ66" s="66">
        <v>0</v>
      </c>
      <c r="AK66" s="66">
        <v>0</v>
      </c>
      <c r="AL66" s="66">
        <v>0</v>
      </c>
      <c r="AM66" s="66">
        <v>0</v>
      </c>
      <c r="AN66" s="45">
        <v>0</v>
      </c>
      <c r="AO66" s="834" t="str">
        <f t="shared" si="2"/>
        <v>Si</v>
      </c>
      <c r="AP66" s="45">
        <f t="shared" si="4"/>
        <v>0</v>
      </c>
    </row>
    <row r="67" spans="2:42" x14ac:dyDescent="0.3">
      <c r="B67" s="30" t="s">
        <v>597</v>
      </c>
      <c r="C67" s="2" t="s">
        <v>598</v>
      </c>
      <c r="D67" s="140">
        <v>46023</v>
      </c>
      <c r="E67" s="140">
        <v>46613</v>
      </c>
      <c r="F67" s="141">
        <f t="shared" si="0"/>
        <v>590</v>
      </c>
      <c r="G67" s="40" t="str">
        <f>+G68</f>
        <v>INICIO</v>
      </c>
      <c r="H67" s="40" t="str">
        <f>+H83</f>
        <v>FIN</v>
      </c>
      <c r="I67" s="65">
        <f>+SUM(I68:I80)</f>
        <v>0</v>
      </c>
      <c r="J67" s="33">
        <f t="shared" si="6"/>
        <v>0</v>
      </c>
      <c r="K67" s="622">
        <f>+SUM(K68:K83)</f>
        <v>0</v>
      </c>
      <c r="L67" s="65">
        <f t="shared" ref="L67:AN67" si="24">+SUM(L68:L83)</f>
        <v>0</v>
      </c>
      <c r="M67" s="65">
        <f t="shared" si="24"/>
        <v>0</v>
      </c>
      <c r="N67" s="65">
        <f t="shared" si="24"/>
        <v>0</v>
      </c>
      <c r="O67" s="65">
        <f t="shared" si="24"/>
        <v>0</v>
      </c>
      <c r="P67" s="33">
        <f t="shared" si="24"/>
        <v>0</v>
      </c>
      <c r="Q67" s="84">
        <f t="shared" si="24"/>
        <v>0</v>
      </c>
      <c r="R67" s="65">
        <f t="shared" si="24"/>
        <v>0</v>
      </c>
      <c r="S67" s="65">
        <f t="shared" si="24"/>
        <v>0</v>
      </c>
      <c r="T67" s="65">
        <f t="shared" si="24"/>
        <v>0</v>
      </c>
      <c r="U67" s="65">
        <f t="shared" si="24"/>
        <v>0</v>
      </c>
      <c r="V67" s="65">
        <f t="shared" si="24"/>
        <v>0</v>
      </c>
      <c r="W67" s="65">
        <f t="shared" si="24"/>
        <v>0</v>
      </c>
      <c r="X67" s="65">
        <f t="shared" si="24"/>
        <v>0</v>
      </c>
      <c r="Y67" s="65">
        <f t="shared" si="24"/>
        <v>0</v>
      </c>
      <c r="Z67" s="65">
        <f t="shared" si="24"/>
        <v>0</v>
      </c>
      <c r="AA67" s="65">
        <f t="shared" si="24"/>
        <v>0</v>
      </c>
      <c r="AB67" s="33">
        <f t="shared" si="24"/>
        <v>0</v>
      </c>
      <c r="AC67" s="84">
        <f t="shared" si="24"/>
        <v>0</v>
      </c>
      <c r="AD67" s="65">
        <f t="shared" si="24"/>
        <v>0</v>
      </c>
      <c r="AE67" s="65">
        <f t="shared" si="24"/>
        <v>0</v>
      </c>
      <c r="AF67" s="65">
        <f t="shared" si="24"/>
        <v>0</v>
      </c>
      <c r="AG67" s="65">
        <f t="shared" si="24"/>
        <v>0</v>
      </c>
      <c r="AH67" s="65">
        <f t="shared" si="24"/>
        <v>0</v>
      </c>
      <c r="AI67" s="65">
        <f t="shared" si="24"/>
        <v>0</v>
      </c>
      <c r="AJ67" s="65">
        <f t="shared" si="24"/>
        <v>0</v>
      </c>
      <c r="AK67" s="65">
        <f t="shared" si="24"/>
        <v>0</v>
      </c>
      <c r="AL67" s="65">
        <f t="shared" si="24"/>
        <v>0</v>
      </c>
      <c r="AM67" s="65">
        <f t="shared" si="24"/>
        <v>0</v>
      </c>
      <c r="AN67" s="33">
        <f t="shared" si="24"/>
        <v>0</v>
      </c>
      <c r="AO67" s="833" t="str">
        <f t="shared" si="2"/>
        <v>Si</v>
      </c>
      <c r="AP67" s="33">
        <f t="shared" si="4"/>
        <v>0</v>
      </c>
    </row>
    <row r="68" spans="2:42" s="47" customFormat="1" x14ac:dyDescent="0.3">
      <c r="B68" s="48" t="s">
        <v>599</v>
      </c>
      <c r="C68" s="138" t="s">
        <v>600</v>
      </c>
      <c r="D68" s="49">
        <v>46023</v>
      </c>
      <c r="E68" s="49">
        <v>46037</v>
      </c>
      <c r="F68" s="44">
        <f t="shared" si="0"/>
        <v>14</v>
      </c>
      <c r="G68" s="139" t="s">
        <v>490</v>
      </c>
      <c r="H68" s="44" t="s">
        <v>601</v>
      </c>
      <c r="I68" s="66">
        <v>0</v>
      </c>
      <c r="J68" s="630">
        <f t="shared" si="6"/>
        <v>0</v>
      </c>
      <c r="K68" s="623">
        <v>0</v>
      </c>
      <c r="L68" s="67">
        <v>0</v>
      </c>
      <c r="M68" s="66">
        <v>0</v>
      </c>
      <c r="N68" s="66">
        <v>0</v>
      </c>
      <c r="O68" s="66">
        <v>0</v>
      </c>
      <c r="P68" s="45">
        <v>0</v>
      </c>
      <c r="Q68" s="85">
        <v>0</v>
      </c>
      <c r="R68" s="66">
        <v>0</v>
      </c>
      <c r="S68" s="66">
        <v>0</v>
      </c>
      <c r="T68" s="66">
        <v>0</v>
      </c>
      <c r="U68" s="66">
        <v>0</v>
      </c>
      <c r="V68" s="66">
        <v>0</v>
      </c>
      <c r="W68" s="66">
        <v>0</v>
      </c>
      <c r="X68" s="66">
        <v>0</v>
      </c>
      <c r="Y68" s="66">
        <v>0</v>
      </c>
      <c r="Z68" s="66">
        <v>0</v>
      </c>
      <c r="AA68" s="66">
        <v>0</v>
      </c>
      <c r="AB68" s="45">
        <v>0</v>
      </c>
      <c r="AC68" s="85">
        <v>0</v>
      </c>
      <c r="AD68" s="66">
        <v>0</v>
      </c>
      <c r="AE68" s="66">
        <v>0</v>
      </c>
      <c r="AF68" s="66">
        <v>0</v>
      </c>
      <c r="AG68" s="66">
        <v>0</v>
      </c>
      <c r="AH68" s="66">
        <v>0</v>
      </c>
      <c r="AI68" s="66">
        <v>0</v>
      </c>
      <c r="AJ68" s="66">
        <v>0</v>
      </c>
      <c r="AK68" s="66">
        <v>0</v>
      </c>
      <c r="AL68" s="66">
        <v>0</v>
      </c>
      <c r="AM68" s="66">
        <v>0</v>
      </c>
      <c r="AN68" s="45">
        <v>0</v>
      </c>
      <c r="AO68" s="834" t="str">
        <f t="shared" si="2"/>
        <v>Si</v>
      </c>
      <c r="AP68" s="45">
        <f t="shared" si="4"/>
        <v>0</v>
      </c>
    </row>
    <row r="69" spans="2:42" s="47" customFormat="1" x14ac:dyDescent="0.3">
      <c r="B69" s="48" t="s">
        <v>602</v>
      </c>
      <c r="C69" s="138" t="s">
        <v>603</v>
      </c>
      <c r="D69" s="49">
        <v>46204</v>
      </c>
      <c r="E69" s="49">
        <v>46218</v>
      </c>
      <c r="F69" s="44">
        <f t="shared" si="0"/>
        <v>14</v>
      </c>
      <c r="G69" s="139" t="s">
        <v>604</v>
      </c>
      <c r="H69" s="44" t="s">
        <v>605</v>
      </c>
      <c r="I69" s="66">
        <v>0</v>
      </c>
      <c r="J69" s="45">
        <v>0</v>
      </c>
      <c r="K69" s="130">
        <v>0</v>
      </c>
      <c r="L69" s="66">
        <v>0</v>
      </c>
      <c r="M69" s="66">
        <v>0</v>
      </c>
      <c r="N69" s="66">
        <v>0</v>
      </c>
      <c r="O69" s="66">
        <v>0</v>
      </c>
      <c r="P69" s="45">
        <v>0</v>
      </c>
      <c r="Q69" s="85">
        <v>0</v>
      </c>
      <c r="R69" s="66">
        <v>0</v>
      </c>
      <c r="S69" s="66">
        <v>0</v>
      </c>
      <c r="T69" s="66">
        <v>0</v>
      </c>
      <c r="U69" s="66">
        <v>0</v>
      </c>
      <c r="V69" s="66">
        <v>0</v>
      </c>
      <c r="W69" s="66">
        <v>0</v>
      </c>
      <c r="X69" s="66">
        <v>0</v>
      </c>
      <c r="Y69" s="66">
        <v>0</v>
      </c>
      <c r="Z69" s="66">
        <v>0</v>
      </c>
      <c r="AA69" s="66">
        <v>0</v>
      </c>
      <c r="AB69" s="45">
        <v>0</v>
      </c>
      <c r="AC69" s="85">
        <v>0</v>
      </c>
      <c r="AD69" s="66">
        <v>0</v>
      </c>
      <c r="AE69" s="66">
        <v>0</v>
      </c>
      <c r="AF69" s="66">
        <v>0</v>
      </c>
      <c r="AG69" s="66">
        <v>0</v>
      </c>
      <c r="AH69" s="66">
        <v>0</v>
      </c>
      <c r="AI69" s="66">
        <v>0</v>
      </c>
      <c r="AJ69" s="66">
        <v>0</v>
      </c>
      <c r="AK69" s="66">
        <v>0</v>
      </c>
      <c r="AL69" s="66">
        <v>0</v>
      </c>
      <c r="AM69" s="66">
        <v>0</v>
      </c>
      <c r="AN69" s="45">
        <v>0</v>
      </c>
      <c r="AO69" s="834" t="str">
        <f t="shared" si="2"/>
        <v>Si</v>
      </c>
      <c r="AP69" s="45">
        <f t="shared" si="4"/>
        <v>0</v>
      </c>
    </row>
    <row r="70" spans="2:42" s="47" customFormat="1" x14ac:dyDescent="0.3">
      <c r="B70" s="48" t="s">
        <v>606</v>
      </c>
      <c r="C70" s="138" t="s">
        <v>607</v>
      </c>
      <c r="D70" s="49">
        <v>46388</v>
      </c>
      <c r="E70" s="49">
        <v>46402</v>
      </c>
      <c r="F70" s="44">
        <f t="shared" si="0"/>
        <v>14</v>
      </c>
      <c r="G70" s="139" t="s">
        <v>608</v>
      </c>
      <c r="H70" s="44" t="s">
        <v>609</v>
      </c>
      <c r="I70" s="66">
        <v>0</v>
      </c>
      <c r="J70" s="45">
        <v>0</v>
      </c>
      <c r="K70" s="130">
        <v>0</v>
      </c>
      <c r="L70" s="66">
        <v>0</v>
      </c>
      <c r="M70" s="66">
        <v>0</v>
      </c>
      <c r="N70" s="66">
        <v>0</v>
      </c>
      <c r="O70" s="66">
        <v>0</v>
      </c>
      <c r="P70" s="45">
        <v>0</v>
      </c>
      <c r="Q70" s="85">
        <v>0</v>
      </c>
      <c r="R70" s="66">
        <v>0</v>
      </c>
      <c r="S70" s="66">
        <v>0</v>
      </c>
      <c r="T70" s="66">
        <v>0</v>
      </c>
      <c r="U70" s="66">
        <v>0</v>
      </c>
      <c r="V70" s="66">
        <v>0</v>
      </c>
      <c r="W70" s="66">
        <v>0</v>
      </c>
      <c r="X70" s="66">
        <v>0</v>
      </c>
      <c r="Y70" s="66">
        <v>0</v>
      </c>
      <c r="Z70" s="66">
        <v>0</v>
      </c>
      <c r="AA70" s="66">
        <v>0</v>
      </c>
      <c r="AB70" s="45">
        <v>0</v>
      </c>
      <c r="AC70" s="85">
        <v>0</v>
      </c>
      <c r="AD70" s="66">
        <v>0</v>
      </c>
      <c r="AE70" s="66">
        <v>0</v>
      </c>
      <c r="AF70" s="66">
        <v>0</v>
      </c>
      <c r="AG70" s="66">
        <v>0</v>
      </c>
      <c r="AH70" s="66">
        <v>0</v>
      </c>
      <c r="AI70" s="66">
        <v>0</v>
      </c>
      <c r="AJ70" s="66">
        <v>0</v>
      </c>
      <c r="AK70" s="66">
        <v>0</v>
      </c>
      <c r="AL70" s="66">
        <v>0</v>
      </c>
      <c r="AM70" s="66">
        <v>0</v>
      </c>
      <c r="AN70" s="45">
        <v>0</v>
      </c>
      <c r="AO70" s="834" t="str">
        <f t="shared" si="2"/>
        <v>Si</v>
      </c>
      <c r="AP70" s="45">
        <f t="shared" si="4"/>
        <v>0</v>
      </c>
    </row>
    <row r="71" spans="2:42" s="47" customFormat="1" x14ac:dyDescent="0.3">
      <c r="B71" s="48" t="s">
        <v>610</v>
      </c>
      <c r="C71" s="138" t="s">
        <v>611</v>
      </c>
      <c r="D71" s="49">
        <v>46569</v>
      </c>
      <c r="E71" s="49">
        <v>46583</v>
      </c>
      <c r="F71" s="44">
        <f t="shared" si="0"/>
        <v>14</v>
      </c>
      <c r="G71" s="139" t="s">
        <v>612</v>
      </c>
      <c r="H71" s="44" t="s">
        <v>613</v>
      </c>
      <c r="I71" s="66">
        <v>0</v>
      </c>
      <c r="J71" s="45">
        <v>0</v>
      </c>
      <c r="K71" s="130">
        <v>0</v>
      </c>
      <c r="L71" s="66">
        <v>0</v>
      </c>
      <c r="M71" s="66">
        <v>0</v>
      </c>
      <c r="N71" s="66">
        <v>0</v>
      </c>
      <c r="O71" s="66">
        <v>0</v>
      </c>
      <c r="P71" s="45">
        <v>0</v>
      </c>
      <c r="Q71" s="85">
        <v>0</v>
      </c>
      <c r="R71" s="66">
        <v>0</v>
      </c>
      <c r="S71" s="66">
        <v>0</v>
      </c>
      <c r="T71" s="66">
        <v>0</v>
      </c>
      <c r="U71" s="66">
        <v>0</v>
      </c>
      <c r="V71" s="66">
        <v>0</v>
      </c>
      <c r="W71" s="66">
        <v>0</v>
      </c>
      <c r="X71" s="66">
        <v>0</v>
      </c>
      <c r="Y71" s="66">
        <v>0</v>
      </c>
      <c r="Z71" s="66">
        <v>0</v>
      </c>
      <c r="AA71" s="66">
        <v>0</v>
      </c>
      <c r="AB71" s="45">
        <v>0</v>
      </c>
      <c r="AC71" s="85">
        <v>0</v>
      </c>
      <c r="AD71" s="66">
        <v>0</v>
      </c>
      <c r="AE71" s="66">
        <v>0</v>
      </c>
      <c r="AF71" s="66">
        <v>0</v>
      </c>
      <c r="AG71" s="66">
        <v>0</v>
      </c>
      <c r="AH71" s="66">
        <v>0</v>
      </c>
      <c r="AI71" s="66">
        <v>0</v>
      </c>
      <c r="AJ71" s="66">
        <v>0</v>
      </c>
      <c r="AK71" s="66">
        <v>0</v>
      </c>
      <c r="AL71" s="66">
        <v>0</v>
      </c>
      <c r="AM71" s="66">
        <v>0</v>
      </c>
      <c r="AN71" s="45">
        <v>0</v>
      </c>
      <c r="AO71" s="834" t="str">
        <f t="shared" si="2"/>
        <v>Si</v>
      </c>
      <c r="AP71" s="45">
        <f t="shared" si="4"/>
        <v>0</v>
      </c>
    </row>
    <row r="72" spans="2:42" s="47" customFormat="1" x14ac:dyDescent="0.3">
      <c r="B72" s="48" t="s">
        <v>601</v>
      </c>
      <c r="C72" s="138" t="s">
        <v>614</v>
      </c>
      <c r="D72" s="49">
        <v>46038</v>
      </c>
      <c r="E72" s="49">
        <v>46053</v>
      </c>
      <c r="F72" s="44">
        <f t="shared" si="0"/>
        <v>15</v>
      </c>
      <c r="G72" s="139" t="s">
        <v>599</v>
      </c>
      <c r="H72" s="44" t="s">
        <v>615</v>
      </c>
      <c r="I72" s="66">
        <v>0</v>
      </c>
      <c r="J72" s="45">
        <v>0</v>
      </c>
      <c r="K72" s="130">
        <v>0</v>
      </c>
      <c r="L72" s="66">
        <v>0</v>
      </c>
      <c r="M72" s="66">
        <v>0</v>
      </c>
      <c r="N72" s="66">
        <v>0</v>
      </c>
      <c r="O72" s="66">
        <v>0</v>
      </c>
      <c r="P72" s="45">
        <v>0</v>
      </c>
      <c r="Q72" s="85">
        <v>0</v>
      </c>
      <c r="R72" s="66">
        <v>0</v>
      </c>
      <c r="S72" s="66">
        <v>0</v>
      </c>
      <c r="T72" s="66">
        <v>0</v>
      </c>
      <c r="U72" s="66">
        <v>0</v>
      </c>
      <c r="V72" s="66">
        <v>0</v>
      </c>
      <c r="W72" s="66">
        <v>0</v>
      </c>
      <c r="X72" s="66">
        <v>0</v>
      </c>
      <c r="Y72" s="66">
        <v>0</v>
      </c>
      <c r="Z72" s="66">
        <v>0</v>
      </c>
      <c r="AA72" s="66">
        <v>0</v>
      </c>
      <c r="AB72" s="45">
        <v>0</v>
      </c>
      <c r="AC72" s="85">
        <v>0</v>
      </c>
      <c r="AD72" s="66">
        <v>0</v>
      </c>
      <c r="AE72" s="66">
        <v>0</v>
      </c>
      <c r="AF72" s="66">
        <v>0</v>
      </c>
      <c r="AG72" s="66">
        <v>0</v>
      </c>
      <c r="AH72" s="66">
        <v>0</v>
      </c>
      <c r="AI72" s="66">
        <v>0</v>
      </c>
      <c r="AJ72" s="66">
        <v>0</v>
      </c>
      <c r="AK72" s="66">
        <v>0</v>
      </c>
      <c r="AL72" s="66">
        <v>0</v>
      </c>
      <c r="AM72" s="66">
        <v>0</v>
      </c>
      <c r="AN72" s="45">
        <v>0</v>
      </c>
      <c r="AO72" s="834" t="str">
        <f t="shared" si="2"/>
        <v>Si</v>
      </c>
      <c r="AP72" s="45">
        <f t="shared" si="4"/>
        <v>0</v>
      </c>
    </row>
    <row r="73" spans="2:42" s="47" customFormat="1" x14ac:dyDescent="0.3">
      <c r="B73" s="48" t="s">
        <v>605</v>
      </c>
      <c r="C73" s="138" t="s">
        <v>616</v>
      </c>
      <c r="D73" s="49">
        <v>46219</v>
      </c>
      <c r="E73" s="49">
        <v>46234</v>
      </c>
      <c r="F73" s="44">
        <f t="shared" si="0"/>
        <v>15</v>
      </c>
      <c r="G73" s="139" t="s">
        <v>602</v>
      </c>
      <c r="H73" s="44" t="s">
        <v>617</v>
      </c>
      <c r="I73" s="66">
        <v>0</v>
      </c>
      <c r="J73" s="45">
        <v>0</v>
      </c>
      <c r="K73" s="130">
        <v>0</v>
      </c>
      <c r="L73" s="66">
        <v>0</v>
      </c>
      <c r="M73" s="66">
        <v>0</v>
      </c>
      <c r="N73" s="66">
        <v>0</v>
      </c>
      <c r="O73" s="66">
        <v>0</v>
      </c>
      <c r="P73" s="45">
        <v>0</v>
      </c>
      <c r="Q73" s="85">
        <v>0</v>
      </c>
      <c r="R73" s="66">
        <v>0</v>
      </c>
      <c r="S73" s="66">
        <v>0</v>
      </c>
      <c r="T73" s="66">
        <v>0</v>
      </c>
      <c r="U73" s="66">
        <v>0</v>
      </c>
      <c r="V73" s="66">
        <v>0</v>
      </c>
      <c r="W73" s="66">
        <v>0</v>
      </c>
      <c r="X73" s="66">
        <v>0</v>
      </c>
      <c r="Y73" s="66">
        <v>0</v>
      </c>
      <c r="Z73" s="66">
        <v>0</v>
      </c>
      <c r="AA73" s="66">
        <v>0</v>
      </c>
      <c r="AB73" s="45">
        <v>0</v>
      </c>
      <c r="AC73" s="85">
        <v>0</v>
      </c>
      <c r="AD73" s="66">
        <v>0</v>
      </c>
      <c r="AE73" s="66">
        <v>0</v>
      </c>
      <c r="AF73" s="66">
        <v>0</v>
      </c>
      <c r="AG73" s="66">
        <v>0</v>
      </c>
      <c r="AH73" s="66">
        <v>0</v>
      </c>
      <c r="AI73" s="66">
        <v>0</v>
      </c>
      <c r="AJ73" s="66">
        <v>0</v>
      </c>
      <c r="AK73" s="66">
        <v>0</v>
      </c>
      <c r="AL73" s="66">
        <v>0</v>
      </c>
      <c r="AM73" s="66">
        <v>0</v>
      </c>
      <c r="AN73" s="45">
        <v>0</v>
      </c>
      <c r="AO73" s="834" t="str">
        <f t="shared" si="2"/>
        <v>Si</v>
      </c>
      <c r="AP73" s="45">
        <f t="shared" si="4"/>
        <v>0</v>
      </c>
    </row>
    <row r="74" spans="2:42" s="47" customFormat="1" x14ac:dyDescent="0.3">
      <c r="B74" s="48" t="s">
        <v>609</v>
      </c>
      <c r="C74" s="138" t="s">
        <v>618</v>
      </c>
      <c r="D74" s="49">
        <v>46403</v>
      </c>
      <c r="E74" s="49">
        <v>46418</v>
      </c>
      <c r="F74" s="44">
        <f t="shared" si="0"/>
        <v>15</v>
      </c>
      <c r="G74" s="139" t="s">
        <v>606</v>
      </c>
      <c r="H74" s="44" t="s">
        <v>619</v>
      </c>
      <c r="I74" s="66">
        <v>0</v>
      </c>
      <c r="J74" s="45">
        <v>0</v>
      </c>
      <c r="K74" s="130">
        <v>0</v>
      </c>
      <c r="L74" s="66">
        <v>0</v>
      </c>
      <c r="M74" s="66">
        <v>0</v>
      </c>
      <c r="N74" s="66">
        <v>0</v>
      </c>
      <c r="O74" s="66">
        <v>0</v>
      </c>
      <c r="P74" s="45">
        <v>0</v>
      </c>
      <c r="Q74" s="85">
        <v>0</v>
      </c>
      <c r="R74" s="66">
        <v>0</v>
      </c>
      <c r="S74" s="66">
        <v>0</v>
      </c>
      <c r="T74" s="66">
        <v>0</v>
      </c>
      <c r="U74" s="66">
        <v>0</v>
      </c>
      <c r="V74" s="66">
        <v>0</v>
      </c>
      <c r="W74" s="66">
        <v>0</v>
      </c>
      <c r="X74" s="66">
        <v>0</v>
      </c>
      <c r="Y74" s="66">
        <v>0</v>
      </c>
      <c r="Z74" s="66">
        <v>0</v>
      </c>
      <c r="AA74" s="66">
        <v>0</v>
      </c>
      <c r="AB74" s="45">
        <v>0</v>
      </c>
      <c r="AC74" s="85">
        <v>0</v>
      </c>
      <c r="AD74" s="66">
        <v>0</v>
      </c>
      <c r="AE74" s="66">
        <v>0</v>
      </c>
      <c r="AF74" s="66">
        <v>0</v>
      </c>
      <c r="AG74" s="66">
        <v>0</v>
      </c>
      <c r="AH74" s="66">
        <v>0</v>
      </c>
      <c r="AI74" s="66">
        <v>0</v>
      </c>
      <c r="AJ74" s="66">
        <v>0</v>
      </c>
      <c r="AK74" s="66">
        <v>0</v>
      </c>
      <c r="AL74" s="66">
        <v>0</v>
      </c>
      <c r="AM74" s="66">
        <v>0</v>
      </c>
      <c r="AN74" s="45">
        <v>0</v>
      </c>
      <c r="AO74" s="834" t="str">
        <f t="shared" si="2"/>
        <v>Si</v>
      </c>
      <c r="AP74" s="45">
        <f t="shared" si="4"/>
        <v>0</v>
      </c>
    </row>
    <row r="75" spans="2:42" s="47" customFormat="1" x14ac:dyDescent="0.3">
      <c r="B75" s="48" t="s">
        <v>613</v>
      </c>
      <c r="C75" s="138" t="s">
        <v>620</v>
      </c>
      <c r="D75" s="49">
        <v>46584</v>
      </c>
      <c r="E75" s="49">
        <v>46599</v>
      </c>
      <c r="F75" s="44">
        <f t="shared" si="0"/>
        <v>15</v>
      </c>
      <c r="G75" s="139" t="s">
        <v>610</v>
      </c>
      <c r="H75" s="44" t="s">
        <v>621</v>
      </c>
      <c r="I75" s="66">
        <v>0</v>
      </c>
      <c r="J75" s="45">
        <v>0</v>
      </c>
      <c r="K75" s="130">
        <v>0</v>
      </c>
      <c r="L75" s="66">
        <v>0</v>
      </c>
      <c r="M75" s="66">
        <v>0</v>
      </c>
      <c r="N75" s="66">
        <v>0</v>
      </c>
      <c r="O75" s="66">
        <v>0</v>
      </c>
      <c r="P75" s="45">
        <v>0</v>
      </c>
      <c r="Q75" s="85">
        <v>0</v>
      </c>
      <c r="R75" s="66">
        <v>0</v>
      </c>
      <c r="S75" s="66">
        <v>0</v>
      </c>
      <c r="T75" s="66">
        <v>0</v>
      </c>
      <c r="U75" s="66">
        <v>0</v>
      </c>
      <c r="V75" s="66">
        <v>0</v>
      </c>
      <c r="W75" s="66">
        <v>0</v>
      </c>
      <c r="X75" s="66">
        <v>0</v>
      </c>
      <c r="Y75" s="66">
        <v>0</v>
      </c>
      <c r="Z75" s="66">
        <v>0</v>
      </c>
      <c r="AA75" s="66">
        <v>0</v>
      </c>
      <c r="AB75" s="45">
        <v>0</v>
      </c>
      <c r="AC75" s="85">
        <v>0</v>
      </c>
      <c r="AD75" s="66">
        <v>0</v>
      </c>
      <c r="AE75" s="66">
        <v>0</v>
      </c>
      <c r="AF75" s="66">
        <v>0</v>
      </c>
      <c r="AG75" s="66">
        <v>0</v>
      </c>
      <c r="AH75" s="66">
        <v>0</v>
      </c>
      <c r="AI75" s="66">
        <v>0</v>
      </c>
      <c r="AJ75" s="66">
        <v>0</v>
      </c>
      <c r="AK75" s="66">
        <v>0</v>
      </c>
      <c r="AL75" s="66">
        <v>0</v>
      </c>
      <c r="AM75" s="66">
        <v>0</v>
      </c>
      <c r="AN75" s="45">
        <v>0</v>
      </c>
      <c r="AO75" s="834" t="str">
        <f t="shared" si="2"/>
        <v>Si</v>
      </c>
      <c r="AP75" s="45">
        <f t="shared" si="4"/>
        <v>0</v>
      </c>
    </row>
    <row r="76" spans="2:42" s="47" customFormat="1" x14ac:dyDescent="0.3">
      <c r="B76" s="48" t="s">
        <v>615</v>
      </c>
      <c r="C76" s="138" t="s">
        <v>622</v>
      </c>
      <c r="D76" s="137">
        <v>46054</v>
      </c>
      <c r="E76" s="49">
        <v>46066</v>
      </c>
      <c r="F76" s="44">
        <f t="shared" si="0"/>
        <v>12</v>
      </c>
      <c r="G76" s="139" t="s">
        <v>601</v>
      </c>
      <c r="H76" s="44" t="s">
        <v>604</v>
      </c>
      <c r="I76" s="66">
        <v>0</v>
      </c>
      <c r="J76" s="45">
        <v>0</v>
      </c>
      <c r="K76" s="130">
        <v>0</v>
      </c>
      <c r="L76" s="66">
        <v>0</v>
      </c>
      <c r="M76" s="66">
        <v>0</v>
      </c>
      <c r="N76" s="66">
        <v>0</v>
      </c>
      <c r="O76" s="66">
        <v>0</v>
      </c>
      <c r="P76" s="45">
        <v>0</v>
      </c>
      <c r="Q76" s="85">
        <v>0</v>
      </c>
      <c r="R76" s="66">
        <v>0</v>
      </c>
      <c r="S76" s="66">
        <v>0</v>
      </c>
      <c r="T76" s="66">
        <v>0</v>
      </c>
      <c r="U76" s="66">
        <v>0</v>
      </c>
      <c r="V76" s="66">
        <v>0</v>
      </c>
      <c r="W76" s="66">
        <v>0</v>
      </c>
      <c r="X76" s="66">
        <v>0</v>
      </c>
      <c r="Y76" s="66">
        <v>0</v>
      </c>
      <c r="Z76" s="66">
        <v>0</v>
      </c>
      <c r="AA76" s="66">
        <v>0</v>
      </c>
      <c r="AB76" s="45">
        <v>0</v>
      </c>
      <c r="AC76" s="85">
        <v>0</v>
      </c>
      <c r="AD76" s="66">
        <v>0</v>
      </c>
      <c r="AE76" s="66">
        <v>0</v>
      </c>
      <c r="AF76" s="66">
        <v>0</v>
      </c>
      <c r="AG76" s="66">
        <v>0</v>
      </c>
      <c r="AH76" s="66">
        <v>0</v>
      </c>
      <c r="AI76" s="66">
        <v>0</v>
      </c>
      <c r="AJ76" s="66">
        <v>0</v>
      </c>
      <c r="AK76" s="66">
        <v>0</v>
      </c>
      <c r="AL76" s="66">
        <v>0</v>
      </c>
      <c r="AM76" s="66">
        <v>0</v>
      </c>
      <c r="AN76" s="45">
        <v>0</v>
      </c>
      <c r="AO76" s="834" t="str">
        <f t="shared" si="2"/>
        <v>Si</v>
      </c>
      <c r="AP76" s="45">
        <f t="shared" si="4"/>
        <v>0</v>
      </c>
    </row>
    <row r="77" spans="2:42" s="47" customFormat="1" x14ac:dyDescent="0.3">
      <c r="B77" s="48" t="s">
        <v>617</v>
      </c>
      <c r="C77" s="138" t="s">
        <v>623</v>
      </c>
      <c r="D77" s="137">
        <v>46235</v>
      </c>
      <c r="E77" s="49">
        <v>46247</v>
      </c>
      <c r="F77" s="44">
        <f t="shared" si="0"/>
        <v>12</v>
      </c>
      <c r="G77" s="139" t="s">
        <v>605</v>
      </c>
      <c r="H77" s="44" t="s">
        <v>608</v>
      </c>
      <c r="I77" s="66">
        <v>0</v>
      </c>
      <c r="J77" s="45">
        <v>0</v>
      </c>
      <c r="K77" s="130">
        <v>0</v>
      </c>
      <c r="L77" s="66">
        <v>0</v>
      </c>
      <c r="M77" s="66">
        <v>0</v>
      </c>
      <c r="N77" s="66">
        <v>0</v>
      </c>
      <c r="O77" s="66">
        <v>0</v>
      </c>
      <c r="P77" s="45">
        <v>0</v>
      </c>
      <c r="Q77" s="85">
        <v>0</v>
      </c>
      <c r="R77" s="66">
        <v>0</v>
      </c>
      <c r="S77" s="66">
        <v>0</v>
      </c>
      <c r="T77" s="66">
        <v>0</v>
      </c>
      <c r="U77" s="66">
        <v>0</v>
      </c>
      <c r="V77" s="66">
        <v>0</v>
      </c>
      <c r="W77" s="66">
        <v>0</v>
      </c>
      <c r="X77" s="66">
        <v>0</v>
      </c>
      <c r="Y77" s="66">
        <v>0</v>
      </c>
      <c r="Z77" s="66">
        <v>0</v>
      </c>
      <c r="AA77" s="66">
        <v>0</v>
      </c>
      <c r="AB77" s="45">
        <v>0</v>
      </c>
      <c r="AC77" s="85">
        <v>0</v>
      </c>
      <c r="AD77" s="66">
        <v>0</v>
      </c>
      <c r="AE77" s="66">
        <v>0</v>
      </c>
      <c r="AF77" s="66">
        <v>0</v>
      </c>
      <c r="AG77" s="66">
        <v>0</v>
      </c>
      <c r="AH77" s="66">
        <v>0</v>
      </c>
      <c r="AI77" s="66">
        <v>0</v>
      </c>
      <c r="AJ77" s="66">
        <v>0</v>
      </c>
      <c r="AK77" s="66">
        <v>0</v>
      </c>
      <c r="AL77" s="66">
        <v>0</v>
      </c>
      <c r="AM77" s="66">
        <v>0</v>
      </c>
      <c r="AN77" s="45">
        <v>0</v>
      </c>
      <c r="AO77" s="834" t="str">
        <f t="shared" si="2"/>
        <v>Si</v>
      </c>
      <c r="AP77" s="45">
        <f t="shared" si="4"/>
        <v>0</v>
      </c>
    </row>
    <row r="78" spans="2:42" s="47" customFormat="1" x14ac:dyDescent="0.3">
      <c r="B78" s="48" t="s">
        <v>619</v>
      </c>
      <c r="C78" s="138" t="s">
        <v>624</v>
      </c>
      <c r="D78" s="137">
        <v>46419</v>
      </c>
      <c r="E78" s="49">
        <v>46431</v>
      </c>
      <c r="F78" s="44">
        <f t="shared" si="0"/>
        <v>12</v>
      </c>
      <c r="G78" s="139" t="s">
        <v>609</v>
      </c>
      <c r="H78" s="44" t="s">
        <v>612</v>
      </c>
      <c r="I78" s="66">
        <v>0</v>
      </c>
      <c r="J78" s="45">
        <v>0</v>
      </c>
      <c r="K78" s="130">
        <v>0</v>
      </c>
      <c r="L78" s="66">
        <v>0</v>
      </c>
      <c r="M78" s="66">
        <v>0</v>
      </c>
      <c r="N78" s="66">
        <v>0</v>
      </c>
      <c r="O78" s="66">
        <v>0</v>
      </c>
      <c r="P78" s="45">
        <v>0</v>
      </c>
      <c r="Q78" s="85">
        <v>0</v>
      </c>
      <c r="R78" s="66">
        <v>0</v>
      </c>
      <c r="S78" s="66">
        <v>0</v>
      </c>
      <c r="T78" s="66">
        <v>0</v>
      </c>
      <c r="U78" s="66">
        <v>0</v>
      </c>
      <c r="V78" s="66">
        <v>0</v>
      </c>
      <c r="W78" s="66">
        <v>0</v>
      </c>
      <c r="X78" s="66">
        <v>0</v>
      </c>
      <c r="Y78" s="66">
        <v>0</v>
      </c>
      <c r="Z78" s="66">
        <v>0</v>
      </c>
      <c r="AA78" s="66">
        <v>0</v>
      </c>
      <c r="AB78" s="45">
        <v>0</v>
      </c>
      <c r="AC78" s="85">
        <v>0</v>
      </c>
      <c r="AD78" s="66">
        <v>0</v>
      </c>
      <c r="AE78" s="66">
        <v>0</v>
      </c>
      <c r="AF78" s="66">
        <v>0</v>
      </c>
      <c r="AG78" s="66">
        <v>0</v>
      </c>
      <c r="AH78" s="66">
        <v>0</v>
      </c>
      <c r="AI78" s="66">
        <v>0</v>
      </c>
      <c r="AJ78" s="66">
        <v>0</v>
      </c>
      <c r="AK78" s="66">
        <v>0</v>
      </c>
      <c r="AL78" s="66">
        <v>0</v>
      </c>
      <c r="AM78" s="66">
        <v>0</v>
      </c>
      <c r="AN78" s="45">
        <v>0</v>
      </c>
      <c r="AO78" s="834" t="str">
        <f t="shared" si="2"/>
        <v>Si</v>
      </c>
      <c r="AP78" s="45">
        <f t="shared" si="4"/>
        <v>0</v>
      </c>
    </row>
    <row r="79" spans="2:42" s="47" customFormat="1" x14ac:dyDescent="0.3">
      <c r="B79" s="48" t="s">
        <v>621</v>
      </c>
      <c r="C79" s="138" t="s">
        <v>625</v>
      </c>
      <c r="D79" s="137">
        <v>46600</v>
      </c>
      <c r="E79" s="49">
        <v>46612</v>
      </c>
      <c r="F79" s="44">
        <f t="shared" si="0"/>
        <v>12</v>
      </c>
      <c r="G79" s="139" t="s">
        <v>613</v>
      </c>
      <c r="H79" s="44" t="s">
        <v>626</v>
      </c>
      <c r="I79" s="66">
        <v>0</v>
      </c>
      <c r="J79" s="45">
        <v>0</v>
      </c>
      <c r="K79" s="130">
        <v>0</v>
      </c>
      <c r="L79" s="66">
        <v>0</v>
      </c>
      <c r="M79" s="66">
        <v>0</v>
      </c>
      <c r="N79" s="66">
        <v>0</v>
      </c>
      <c r="O79" s="66">
        <v>0</v>
      </c>
      <c r="P79" s="45">
        <v>0</v>
      </c>
      <c r="Q79" s="85">
        <v>0</v>
      </c>
      <c r="R79" s="66">
        <v>0</v>
      </c>
      <c r="S79" s="66">
        <v>0</v>
      </c>
      <c r="T79" s="66">
        <v>0</v>
      </c>
      <c r="U79" s="66">
        <v>0</v>
      </c>
      <c r="V79" s="66">
        <v>0</v>
      </c>
      <c r="W79" s="66">
        <v>0</v>
      </c>
      <c r="X79" s="66">
        <v>0</v>
      </c>
      <c r="Y79" s="66">
        <v>0</v>
      </c>
      <c r="Z79" s="66">
        <v>0</v>
      </c>
      <c r="AA79" s="66">
        <v>0</v>
      </c>
      <c r="AB79" s="45">
        <v>0</v>
      </c>
      <c r="AC79" s="85">
        <v>0</v>
      </c>
      <c r="AD79" s="66">
        <v>0</v>
      </c>
      <c r="AE79" s="66">
        <v>0</v>
      </c>
      <c r="AF79" s="66">
        <v>0</v>
      </c>
      <c r="AG79" s="66">
        <v>0</v>
      </c>
      <c r="AH79" s="66">
        <v>0</v>
      </c>
      <c r="AI79" s="66">
        <v>0</v>
      </c>
      <c r="AJ79" s="66">
        <v>0</v>
      </c>
      <c r="AK79" s="66">
        <v>0</v>
      </c>
      <c r="AL79" s="66">
        <v>0</v>
      </c>
      <c r="AM79" s="66">
        <v>0</v>
      </c>
      <c r="AN79" s="45">
        <v>0</v>
      </c>
      <c r="AO79" s="834" t="str">
        <f t="shared" ref="AO79:AO142" si="25">IF(SUM(K79:AN79)=J79,"Si","No")</f>
        <v>Si</v>
      </c>
      <c r="AP79" s="45">
        <f t="shared" si="4"/>
        <v>0</v>
      </c>
    </row>
    <row r="80" spans="2:42" s="47" customFormat="1" x14ac:dyDescent="0.3">
      <c r="B80" s="48" t="s">
        <v>604</v>
      </c>
      <c r="C80" s="138" t="s">
        <v>627</v>
      </c>
      <c r="D80" s="49">
        <v>46067</v>
      </c>
      <c r="E80" s="49">
        <v>46067</v>
      </c>
      <c r="F80" s="44">
        <f t="shared" si="0"/>
        <v>0</v>
      </c>
      <c r="G80" s="139" t="s">
        <v>615</v>
      </c>
      <c r="H80" s="44" t="s">
        <v>602</v>
      </c>
      <c r="I80" s="66">
        <v>0</v>
      </c>
      <c r="J80" s="45">
        <v>0</v>
      </c>
      <c r="K80" s="130">
        <v>0</v>
      </c>
      <c r="L80" s="66">
        <v>0</v>
      </c>
      <c r="M80" s="66">
        <v>0</v>
      </c>
      <c r="N80" s="66">
        <v>0</v>
      </c>
      <c r="O80" s="66">
        <v>0</v>
      </c>
      <c r="P80" s="45">
        <v>0</v>
      </c>
      <c r="Q80" s="85">
        <v>0</v>
      </c>
      <c r="R80" s="66">
        <v>0</v>
      </c>
      <c r="S80" s="66">
        <v>0</v>
      </c>
      <c r="T80" s="66">
        <v>0</v>
      </c>
      <c r="U80" s="66">
        <v>0</v>
      </c>
      <c r="V80" s="66">
        <v>0</v>
      </c>
      <c r="W80" s="66">
        <v>0</v>
      </c>
      <c r="X80" s="66">
        <v>0</v>
      </c>
      <c r="Y80" s="66">
        <v>0</v>
      </c>
      <c r="Z80" s="66">
        <v>0</v>
      </c>
      <c r="AA80" s="66">
        <v>0</v>
      </c>
      <c r="AB80" s="45">
        <v>0</v>
      </c>
      <c r="AC80" s="85">
        <v>0</v>
      </c>
      <c r="AD80" s="66">
        <v>0</v>
      </c>
      <c r="AE80" s="66">
        <v>0</v>
      </c>
      <c r="AF80" s="66">
        <v>0</v>
      </c>
      <c r="AG80" s="66">
        <v>0</v>
      </c>
      <c r="AH80" s="66">
        <v>0</v>
      </c>
      <c r="AI80" s="66">
        <v>0</v>
      </c>
      <c r="AJ80" s="66">
        <v>0</v>
      </c>
      <c r="AK80" s="66">
        <v>0</v>
      </c>
      <c r="AL80" s="66">
        <v>0</v>
      </c>
      <c r="AM80" s="66">
        <v>0</v>
      </c>
      <c r="AN80" s="45">
        <v>0</v>
      </c>
      <c r="AO80" s="834" t="str">
        <f t="shared" si="25"/>
        <v>Si</v>
      </c>
      <c r="AP80" s="45">
        <f t="shared" ref="AP80:AP143" si="26">+SUM(Q80:AN80)</f>
        <v>0</v>
      </c>
    </row>
    <row r="81" spans="2:42" s="47" customFormat="1" x14ac:dyDescent="0.3">
      <c r="B81" s="48" t="s">
        <v>608</v>
      </c>
      <c r="C81" s="138" t="s">
        <v>628</v>
      </c>
      <c r="D81" s="144">
        <v>46248</v>
      </c>
      <c r="E81" s="144">
        <v>46248</v>
      </c>
      <c r="F81" s="44">
        <f t="shared" si="0"/>
        <v>0</v>
      </c>
      <c r="G81" s="139" t="s">
        <v>617</v>
      </c>
      <c r="H81" s="44" t="s">
        <v>606</v>
      </c>
      <c r="I81" s="66">
        <v>0</v>
      </c>
      <c r="J81" s="45">
        <v>0</v>
      </c>
      <c r="K81" s="130">
        <v>0</v>
      </c>
      <c r="L81" s="66">
        <v>0</v>
      </c>
      <c r="M81" s="66">
        <v>0</v>
      </c>
      <c r="N81" s="66">
        <v>0</v>
      </c>
      <c r="O81" s="66">
        <v>0</v>
      </c>
      <c r="P81" s="45">
        <v>0</v>
      </c>
      <c r="Q81" s="85">
        <v>0</v>
      </c>
      <c r="R81" s="66">
        <v>0</v>
      </c>
      <c r="S81" s="66">
        <v>0</v>
      </c>
      <c r="T81" s="66">
        <v>0</v>
      </c>
      <c r="U81" s="66">
        <v>0</v>
      </c>
      <c r="V81" s="66">
        <v>0</v>
      </c>
      <c r="W81" s="66">
        <v>0</v>
      </c>
      <c r="X81" s="66">
        <v>0</v>
      </c>
      <c r="Y81" s="66">
        <v>0</v>
      </c>
      <c r="Z81" s="66">
        <v>0</v>
      </c>
      <c r="AA81" s="66">
        <v>0</v>
      </c>
      <c r="AB81" s="45">
        <v>0</v>
      </c>
      <c r="AC81" s="85">
        <v>0</v>
      </c>
      <c r="AD81" s="66">
        <v>0</v>
      </c>
      <c r="AE81" s="66">
        <v>0</v>
      </c>
      <c r="AF81" s="66">
        <v>0</v>
      </c>
      <c r="AG81" s="66">
        <v>0</v>
      </c>
      <c r="AH81" s="66">
        <v>0</v>
      </c>
      <c r="AI81" s="66">
        <v>0</v>
      </c>
      <c r="AJ81" s="66">
        <v>0</v>
      </c>
      <c r="AK81" s="66">
        <v>0</v>
      </c>
      <c r="AL81" s="66">
        <v>0</v>
      </c>
      <c r="AM81" s="66">
        <v>0</v>
      </c>
      <c r="AN81" s="45">
        <v>0</v>
      </c>
      <c r="AO81" s="834" t="str">
        <f t="shared" si="25"/>
        <v>Si</v>
      </c>
      <c r="AP81" s="45">
        <f t="shared" si="26"/>
        <v>0</v>
      </c>
    </row>
    <row r="82" spans="2:42" s="47" customFormat="1" x14ac:dyDescent="0.3">
      <c r="B82" s="48" t="s">
        <v>612</v>
      </c>
      <c r="C82" s="138" t="s">
        <v>629</v>
      </c>
      <c r="D82" s="144">
        <v>46432</v>
      </c>
      <c r="E82" s="144">
        <v>46432</v>
      </c>
      <c r="F82" s="44">
        <f t="shared" si="0"/>
        <v>0</v>
      </c>
      <c r="G82" s="139" t="s">
        <v>619</v>
      </c>
      <c r="H82" s="44" t="s">
        <v>610</v>
      </c>
      <c r="I82" s="66">
        <v>0</v>
      </c>
      <c r="J82" s="45">
        <v>0</v>
      </c>
      <c r="K82" s="130">
        <v>0</v>
      </c>
      <c r="L82" s="66">
        <v>0</v>
      </c>
      <c r="M82" s="66">
        <v>0</v>
      </c>
      <c r="N82" s="66">
        <v>0</v>
      </c>
      <c r="O82" s="66">
        <v>0</v>
      </c>
      <c r="P82" s="45">
        <v>0</v>
      </c>
      <c r="Q82" s="85">
        <v>0</v>
      </c>
      <c r="R82" s="66">
        <v>0</v>
      </c>
      <c r="S82" s="66">
        <v>0</v>
      </c>
      <c r="T82" s="66">
        <v>0</v>
      </c>
      <c r="U82" s="66">
        <v>0</v>
      </c>
      <c r="V82" s="66">
        <v>0</v>
      </c>
      <c r="W82" s="66">
        <v>0</v>
      </c>
      <c r="X82" s="66">
        <v>0</v>
      </c>
      <c r="Y82" s="66">
        <v>0</v>
      </c>
      <c r="Z82" s="66">
        <v>0</v>
      </c>
      <c r="AA82" s="66">
        <v>0</v>
      </c>
      <c r="AB82" s="45">
        <v>0</v>
      </c>
      <c r="AC82" s="85">
        <v>0</v>
      </c>
      <c r="AD82" s="66">
        <v>0</v>
      </c>
      <c r="AE82" s="66">
        <v>0</v>
      </c>
      <c r="AF82" s="66">
        <v>0</v>
      </c>
      <c r="AG82" s="66">
        <v>0</v>
      </c>
      <c r="AH82" s="66">
        <v>0</v>
      </c>
      <c r="AI82" s="66">
        <v>0</v>
      </c>
      <c r="AJ82" s="66">
        <v>0</v>
      </c>
      <c r="AK82" s="66">
        <v>0</v>
      </c>
      <c r="AL82" s="66">
        <v>0</v>
      </c>
      <c r="AM82" s="66">
        <v>0</v>
      </c>
      <c r="AN82" s="45">
        <v>0</v>
      </c>
      <c r="AO82" s="834" t="str">
        <f t="shared" si="25"/>
        <v>Si</v>
      </c>
      <c r="AP82" s="45">
        <f t="shared" si="26"/>
        <v>0</v>
      </c>
    </row>
    <row r="83" spans="2:42" s="47" customFormat="1" x14ac:dyDescent="0.3">
      <c r="B83" s="48" t="s">
        <v>626</v>
      </c>
      <c r="C83" s="138" t="s">
        <v>630</v>
      </c>
      <c r="D83" s="144">
        <v>46613</v>
      </c>
      <c r="E83" s="144">
        <v>46613</v>
      </c>
      <c r="F83" s="44">
        <f t="shared" si="0"/>
        <v>0</v>
      </c>
      <c r="G83" s="139" t="s">
        <v>621</v>
      </c>
      <c r="H83" s="44" t="s">
        <v>491</v>
      </c>
      <c r="I83" s="66">
        <v>0</v>
      </c>
      <c r="J83" s="45">
        <v>0</v>
      </c>
      <c r="K83" s="130">
        <v>0</v>
      </c>
      <c r="L83" s="66">
        <v>0</v>
      </c>
      <c r="M83" s="66"/>
      <c r="N83" s="66"/>
      <c r="O83" s="66"/>
      <c r="P83" s="45"/>
      <c r="Q83" s="85"/>
      <c r="R83" s="66"/>
      <c r="S83" s="66"/>
      <c r="T83" s="66"/>
      <c r="U83" s="66"/>
      <c r="V83" s="66"/>
      <c r="W83" s="66"/>
      <c r="X83" s="66"/>
      <c r="Y83" s="66"/>
      <c r="Z83" s="66"/>
      <c r="AA83" s="66"/>
      <c r="AB83" s="45"/>
      <c r="AC83" s="85"/>
      <c r="AD83" s="66"/>
      <c r="AE83" s="66"/>
      <c r="AF83" s="66"/>
      <c r="AG83" s="66"/>
      <c r="AH83" s="66"/>
      <c r="AI83" s="66"/>
      <c r="AJ83" s="66"/>
      <c r="AK83" s="66"/>
      <c r="AL83" s="66"/>
      <c r="AM83" s="66"/>
      <c r="AN83" s="45"/>
      <c r="AO83" s="834" t="str">
        <f t="shared" si="25"/>
        <v>Si</v>
      </c>
      <c r="AP83" s="45">
        <f t="shared" si="26"/>
        <v>0</v>
      </c>
    </row>
    <row r="84" spans="2:42" x14ac:dyDescent="0.3">
      <c r="B84" s="30" t="s">
        <v>631</v>
      </c>
      <c r="C84" s="2" t="s">
        <v>632</v>
      </c>
      <c r="D84" s="142">
        <f>+D85</f>
        <v>46029</v>
      </c>
      <c r="E84" s="142" t="str">
        <f>+E88</f>
        <v>31/08/2026</v>
      </c>
      <c r="F84" s="143">
        <f t="shared" si="0"/>
        <v>236</v>
      </c>
      <c r="G84" s="40" t="str">
        <f>+G85</f>
        <v>INICIO</v>
      </c>
      <c r="H84" s="40" t="str">
        <f>+H88</f>
        <v>FIN</v>
      </c>
      <c r="I84" s="65">
        <f>+SUM(I85:I88)</f>
        <v>0</v>
      </c>
      <c r="J84" s="33">
        <f t="shared" si="6"/>
        <v>0</v>
      </c>
      <c r="K84" s="622">
        <f t="shared" ref="K84:AN84" si="27">+SUM(K85:K88)</f>
        <v>0</v>
      </c>
      <c r="L84" s="65">
        <f t="shared" si="27"/>
        <v>0</v>
      </c>
      <c r="M84" s="65">
        <f t="shared" si="27"/>
        <v>0</v>
      </c>
      <c r="N84" s="65">
        <f t="shared" si="27"/>
        <v>0</v>
      </c>
      <c r="O84" s="65">
        <f t="shared" si="27"/>
        <v>0</v>
      </c>
      <c r="P84" s="33">
        <f t="shared" si="27"/>
        <v>0</v>
      </c>
      <c r="Q84" s="84">
        <f t="shared" si="27"/>
        <v>0</v>
      </c>
      <c r="R84" s="65">
        <f t="shared" si="27"/>
        <v>0</v>
      </c>
      <c r="S84" s="65">
        <f t="shared" si="27"/>
        <v>0</v>
      </c>
      <c r="T84" s="65">
        <f t="shared" si="27"/>
        <v>0</v>
      </c>
      <c r="U84" s="65">
        <f t="shared" si="27"/>
        <v>0</v>
      </c>
      <c r="V84" s="65">
        <f t="shared" si="27"/>
        <v>0</v>
      </c>
      <c r="W84" s="65">
        <f t="shared" si="27"/>
        <v>0</v>
      </c>
      <c r="X84" s="65">
        <f t="shared" si="27"/>
        <v>0</v>
      </c>
      <c r="Y84" s="65">
        <f t="shared" si="27"/>
        <v>0</v>
      </c>
      <c r="Z84" s="65">
        <f t="shared" si="27"/>
        <v>0</v>
      </c>
      <c r="AA84" s="65">
        <f t="shared" si="27"/>
        <v>0</v>
      </c>
      <c r="AB84" s="33">
        <f t="shared" si="27"/>
        <v>0</v>
      </c>
      <c r="AC84" s="84">
        <f t="shared" si="27"/>
        <v>0</v>
      </c>
      <c r="AD84" s="65">
        <f t="shared" si="27"/>
        <v>0</v>
      </c>
      <c r="AE84" s="65">
        <f t="shared" si="27"/>
        <v>0</v>
      </c>
      <c r="AF84" s="65">
        <f t="shared" si="27"/>
        <v>0</v>
      </c>
      <c r="AG84" s="65">
        <f t="shared" si="27"/>
        <v>0</v>
      </c>
      <c r="AH84" s="65">
        <f t="shared" si="27"/>
        <v>0</v>
      </c>
      <c r="AI84" s="65">
        <f t="shared" si="27"/>
        <v>0</v>
      </c>
      <c r="AJ84" s="65">
        <f t="shared" si="27"/>
        <v>0</v>
      </c>
      <c r="AK84" s="65">
        <f t="shared" si="27"/>
        <v>0</v>
      </c>
      <c r="AL84" s="65">
        <f t="shared" si="27"/>
        <v>0</v>
      </c>
      <c r="AM84" s="65">
        <f t="shared" si="27"/>
        <v>0</v>
      </c>
      <c r="AN84" s="33">
        <f t="shared" si="27"/>
        <v>0</v>
      </c>
      <c r="AO84" s="833" t="str">
        <f t="shared" si="25"/>
        <v>Si</v>
      </c>
      <c r="AP84" s="33">
        <f t="shared" si="26"/>
        <v>0</v>
      </c>
    </row>
    <row r="85" spans="2:42" s="47" customFormat="1" x14ac:dyDescent="0.3">
      <c r="B85" s="48" t="s">
        <v>633</v>
      </c>
      <c r="C85" s="46" t="s">
        <v>634</v>
      </c>
      <c r="D85" s="49">
        <v>46029</v>
      </c>
      <c r="E85" s="49" t="s">
        <v>635</v>
      </c>
      <c r="F85" s="44">
        <f t="shared" si="0"/>
        <v>194</v>
      </c>
      <c r="G85" s="44" t="s">
        <v>490</v>
      </c>
      <c r="H85" s="44" t="s">
        <v>636</v>
      </c>
      <c r="I85" s="66">
        <v>0</v>
      </c>
      <c r="J85" s="45">
        <f t="shared" si="6"/>
        <v>0</v>
      </c>
      <c r="K85" s="130">
        <v>0</v>
      </c>
      <c r="L85" s="66">
        <v>0</v>
      </c>
      <c r="M85" s="66">
        <v>0</v>
      </c>
      <c r="N85" s="66">
        <v>0</v>
      </c>
      <c r="O85" s="66">
        <v>0</v>
      </c>
      <c r="P85" s="45">
        <v>0</v>
      </c>
      <c r="Q85" s="85">
        <v>0</v>
      </c>
      <c r="R85" s="66">
        <v>0</v>
      </c>
      <c r="S85" s="66">
        <v>0</v>
      </c>
      <c r="T85" s="66">
        <v>0</v>
      </c>
      <c r="U85" s="66">
        <v>0</v>
      </c>
      <c r="V85" s="66">
        <v>0</v>
      </c>
      <c r="W85" s="66">
        <v>0</v>
      </c>
      <c r="X85" s="66">
        <v>0</v>
      </c>
      <c r="Y85" s="66">
        <v>0</v>
      </c>
      <c r="Z85" s="66">
        <v>0</v>
      </c>
      <c r="AA85" s="66">
        <v>0</v>
      </c>
      <c r="AB85" s="45">
        <v>0</v>
      </c>
      <c r="AC85" s="85">
        <v>0</v>
      </c>
      <c r="AD85" s="66">
        <v>0</v>
      </c>
      <c r="AE85" s="66">
        <v>0</v>
      </c>
      <c r="AF85" s="66">
        <v>0</v>
      </c>
      <c r="AG85" s="66">
        <v>0</v>
      </c>
      <c r="AH85" s="66">
        <v>0</v>
      </c>
      <c r="AI85" s="66">
        <v>0</v>
      </c>
      <c r="AJ85" s="66">
        <v>0</v>
      </c>
      <c r="AK85" s="66">
        <v>0</v>
      </c>
      <c r="AL85" s="66">
        <v>0</v>
      </c>
      <c r="AM85" s="66">
        <v>0</v>
      </c>
      <c r="AN85" s="45">
        <v>0</v>
      </c>
      <c r="AO85" s="834" t="str">
        <f t="shared" si="25"/>
        <v>Si</v>
      </c>
      <c r="AP85" s="45">
        <f t="shared" si="26"/>
        <v>0</v>
      </c>
    </row>
    <row r="86" spans="2:42" s="47" customFormat="1" x14ac:dyDescent="0.3">
      <c r="B86" s="48" t="s">
        <v>636</v>
      </c>
      <c r="C86" s="46" t="s">
        <v>637</v>
      </c>
      <c r="D86" s="49" t="s">
        <v>635</v>
      </c>
      <c r="E86" s="49" t="s">
        <v>638</v>
      </c>
      <c r="F86" s="44">
        <f t="shared" si="0"/>
        <v>11</v>
      </c>
      <c r="G86" s="44" t="s">
        <v>633</v>
      </c>
      <c r="H86" s="44" t="s">
        <v>639</v>
      </c>
      <c r="I86" s="66">
        <v>0</v>
      </c>
      <c r="J86" s="45">
        <f t="shared" si="6"/>
        <v>0</v>
      </c>
      <c r="K86" s="130">
        <v>0</v>
      </c>
      <c r="L86" s="66">
        <v>0</v>
      </c>
      <c r="M86" s="66">
        <v>0</v>
      </c>
      <c r="N86" s="66">
        <v>0</v>
      </c>
      <c r="O86" s="66">
        <v>0</v>
      </c>
      <c r="P86" s="45">
        <v>0</v>
      </c>
      <c r="Q86" s="85">
        <v>0</v>
      </c>
      <c r="R86" s="66">
        <v>0</v>
      </c>
      <c r="S86" s="66">
        <v>0</v>
      </c>
      <c r="T86" s="66">
        <v>0</v>
      </c>
      <c r="U86" s="66">
        <v>0</v>
      </c>
      <c r="V86" s="66">
        <v>0</v>
      </c>
      <c r="W86" s="66">
        <v>0</v>
      </c>
      <c r="X86" s="66">
        <v>0</v>
      </c>
      <c r="Y86" s="66">
        <v>0</v>
      </c>
      <c r="Z86" s="66">
        <v>0</v>
      </c>
      <c r="AA86" s="66">
        <v>0</v>
      </c>
      <c r="AB86" s="45">
        <v>0</v>
      </c>
      <c r="AC86" s="85">
        <v>0</v>
      </c>
      <c r="AD86" s="66">
        <v>0</v>
      </c>
      <c r="AE86" s="66">
        <v>0</v>
      </c>
      <c r="AF86" s="66">
        <v>0</v>
      </c>
      <c r="AG86" s="66">
        <v>0</v>
      </c>
      <c r="AH86" s="66">
        <v>0</v>
      </c>
      <c r="AI86" s="66">
        <v>0</v>
      </c>
      <c r="AJ86" s="66">
        <v>0</v>
      </c>
      <c r="AK86" s="66">
        <v>0</v>
      </c>
      <c r="AL86" s="66">
        <v>0</v>
      </c>
      <c r="AM86" s="66">
        <v>0</v>
      </c>
      <c r="AN86" s="45">
        <v>0</v>
      </c>
      <c r="AO86" s="834" t="str">
        <f t="shared" si="25"/>
        <v>Si</v>
      </c>
      <c r="AP86" s="45">
        <f t="shared" si="26"/>
        <v>0</v>
      </c>
    </row>
    <row r="87" spans="2:42" s="47" customFormat="1" x14ac:dyDescent="0.3">
      <c r="B87" s="48" t="s">
        <v>639</v>
      </c>
      <c r="C87" s="46" t="s">
        <v>640</v>
      </c>
      <c r="D87" s="49">
        <v>46030</v>
      </c>
      <c r="E87" s="49" t="s">
        <v>641</v>
      </c>
      <c r="F87" s="44">
        <f t="shared" si="0"/>
        <v>218</v>
      </c>
      <c r="G87" s="44" t="s">
        <v>636</v>
      </c>
      <c r="H87" s="44" t="s">
        <v>642</v>
      </c>
      <c r="I87" s="66">
        <v>0</v>
      </c>
      <c r="J87" s="45">
        <f t="shared" si="6"/>
        <v>0</v>
      </c>
      <c r="K87" s="130">
        <v>0</v>
      </c>
      <c r="L87" s="66">
        <v>0</v>
      </c>
      <c r="M87" s="66">
        <v>0</v>
      </c>
      <c r="N87" s="66">
        <v>0</v>
      </c>
      <c r="O87" s="66">
        <v>0</v>
      </c>
      <c r="P87" s="45">
        <v>0</v>
      </c>
      <c r="Q87" s="85">
        <v>0</v>
      </c>
      <c r="R87" s="66">
        <v>0</v>
      </c>
      <c r="S87" s="66">
        <v>0</v>
      </c>
      <c r="T87" s="66">
        <v>0</v>
      </c>
      <c r="U87" s="66">
        <v>0</v>
      </c>
      <c r="V87" s="66">
        <v>0</v>
      </c>
      <c r="W87" s="66">
        <v>0</v>
      </c>
      <c r="X87" s="66">
        <v>0</v>
      </c>
      <c r="Y87" s="66">
        <v>0</v>
      </c>
      <c r="Z87" s="66">
        <v>0</v>
      </c>
      <c r="AA87" s="66">
        <v>0</v>
      </c>
      <c r="AB87" s="45">
        <v>0</v>
      </c>
      <c r="AC87" s="85">
        <v>0</v>
      </c>
      <c r="AD87" s="66">
        <v>0</v>
      </c>
      <c r="AE87" s="66">
        <v>0</v>
      </c>
      <c r="AF87" s="66">
        <v>0</v>
      </c>
      <c r="AG87" s="66">
        <v>0</v>
      </c>
      <c r="AH87" s="66">
        <v>0</v>
      </c>
      <c r="AI87" s="66">
        <v>0</v>
      </c>
      <c r="AJ87" s="66">
        <v>0</v>
      </c>
      <c r="AK87" s="66">
        <v>0</v>
      </c>
      <c r="AL87" s="66">
        <v>0</v>
      </c>
      <c r="AM87" s="66">
        <v>0</v>
      </c>
      <c r="AN87" s="45">
        <v>0</v>
      </c>
      <c r="AO87" s="834" t="str">
        <f t="shared" si="25"/>
        <v>Si</v>
      </c>
      <c r="AP87" s="45">
        <f t="shared" si="26"/>
        <v>0</v>
      </c>
    </row>
    <row r="88" spans="2:42" s="47" customFormat="1" x14ac:dyDescent="0.3">
      <c r="B88" s="48" t="s">
        <v>642</v>
      </c>
      <c r="C88" s="46" t="s">
        <v>643</v>
      </c>
      <c r="D88" s="49">
        <v>46249</v>
      </c>
      <c r="E88" s="49" t="s">
        <v>644</v>
      </c>
      <c r="F88" s="44">
        <f t="shared" si="0"/>
        <v>16</v>
      </c>
      <c r="G88" s="44" t="s">
        <v>639</v>
      </c>
      <c r="H88" s="44" t="s">
        <v>491</v>
      </c>
      <c r="I88" s="66">
        <v>0</v>
      </c>
      <c r="J88" s="45">
        <f t="shared" si="6"/>
        <v>0</v>
      </c>
      <c r="K88" s="130">
        <v>0</v>
      </c>
      <c r="L88" s="66">
        <v>0</v>
      </c>
      <c r="M88" s="66">
        <v>0</v>
      </c>
      <c r="N88" s="66">
        <v>0</v>
      </c>
      <c r="O88" s="66">
        <v>0</v>
      </c>
      <c r="P88" s="45">
        <v>0</v>
      </c>
      <c r="Q88" s="85">
        <v>0</v>
      </c>
      <c r="R88" s="66">
        <v>0</v>
      </c>
      <c r="S88" s="66">
        <v>0</v>
      </c>
      <c r="T88" s="66">
        <v>0</v>
      </c>
      <c r="U88" s="66">
        <v>0</v>
      </c>
      <c r="V88" s="66">
        <v>0</v>
      </c>
      <c r="W88" s="66">
        <v>0</v>
      </c>
      <c r="X88" s="66">
        <v>0</v>
      </c>
      <c r="Y88" s="66">
        <v>0</v>
      </c>
      <c r="Z88" s="66">
        <v>0</v>
      </c>
      <c r="AA88" s="66">
        <v>0</v>
      </c>
      <c r="AB88" s="45">
        <v>0</v>
      </c>
      <c r="AC88" s="85">
        <v>0</v>
      </c>
      <c r="AD88" s="66">
        <v>0</v>
      </c>
      <c r="AE88" s="66">
        <v>0</v>
      </c>
      <c r="AF88" s="66">
        <v>0</v>
      </c>
      <c r="AG88" s="66">
        <v>0</v>
      </c>
      <c r="AH88" s="66">
        <v>0</v>
      </c>
      <c r="AI88" s="66">
        <v>0</v>
      </c>
      <c r="AJ88" s="66">
        <v>0</v>
      </c>
      <c r="AK88" s="66">
        <v>0</v>
      </c>
      <c r="AL88" s="66">
        <v>0</v>
      </c>
      <c r="AM88" s="66">
        <v>0</v>
      </c>
      <c r="AN88" s="45">
        <v>0</v>
      </c>
      <c r="AO88" s="834" t="str">
        <f t="shared" si="25"/>
        <v>Si</v>
      </c>
      <c r="AP88" s="45">
        <f t="shared" si="26"/>
        <v>0</v>
      </c>
    </row>
    <row r="89" spans="2:42" ht="28.8" x14ac:dyDescent="0.3">
      <c r="B89" s="30" t="s">
        <v>645</v>
      </c>
      <c r="C89" s="2" t="s">
        <v>646</v>
      </c>
      <c r="D89" s="42" t="str">
        <f>+D90</f>
        <v>30/09/2026</v>
      </c>
      <c r="E89" s="42" t="str">
        <f>+E93</f>
        <v>31/10/2026</v>
      </c>
      <c r="F89" s="40">
        <f t="shared" si="0"/>
        <v>31</v>
      </c>
      <c r="G89" s="40" t="str">
        <f>+G90</f>
        <v>INICIO</v>
      </c>
      <c r="H89" s="40" t="str">
        <f>+H93</f>
        <v>FIN</v>
      </c>
      <c r="I89" s="65">
        <f>+SUM(I90:I93)</f>
        <v>0</v>
      </c>
      <c r="J89" s="33">
        <f t="shared" si="6"/>
        <v>0</v>
      </c>
      <c r="K89" s="622">
        <f t="shared" ref="K89:AN89" si="28">+SUM(K90:K93)</f>
        <v>0</v>
      </c>
      <c r="L89" s="65">
        <f t="shared" si="28"/>
        <v>0</v>
      </c>
      <c r="M89" s="65">
        <f t="shared" si="28"/>
        <v>0</v>
      </c>
      <c r="N89" s="65">
        <f t="shared" si="28"/>
        <v>0</v>
      </c>
      <c r="O89" s="65">
        <f t="shared" si="28"/>
        <v>0</v>
      </c>
      <c r="P89" s="33">
        <f t="shared" si="28"/>
        <v>0</v>
      </c>
      <c r="Q89" s="84">
        <f t="shared" si="28"/>
        <v>0</v>
      </c>
      <c r="R89" s="65">
        <f t="shared" si="28"/>
        <v>0</v>
      </c>
      <c r="S89" s="65">
        <f t="shared" si="28"/>
        <v>0</v>
      </c>
      <c r="T89" s="65">
        <f t="shared" si="28"/>
        <v>0</v>
      </c>
      <c r="U89" s="65">
        <f t="shared" si="28"/>
        <v>0</v>
      </c>
      <c r="V89" s="65">
        <f t="shared" si="28"/>
        <v>0</v>
      </c>
      <c r="W89" s="65">
        <f t="shared" si="28"/>
        <v>0</v>
      </c>
      <c r="X89" s="65">
        <f t="shared" si="28"/>
        <v>0</v>
      </c>
      <c r="Y89" s="65">
        <f t="shared" si="28"/>
        <v>0</v>
      </c>
      <c r="Z89" s="65">
        <f t="shared" si="28"/>
        <v>0</v>
      </c>
      <c r="AA89" s="65">
        <f t="shared" si="28"/>
        <v>0</v>
      </c>
      <c r="AB89" s="33">
        <f t="shared" si="28"/>
        <v>0</v>
      </c>
      <c r="AC89" s="84">
        <f t="shared" si="28"/>
        <v>0</v>
      </c>
      <c r="AD89" s="65">
        <f t="shared" si="28"/>
        <v>0</v>
      </c>
      <c r="AE89" s="65">
        <f t="shared" si="28"/>
        <v>0</v>
      </c>
      <c r="AF89" s="65">
        <f t="shared" si="28"/>
        <v>0</v>
      </c>
      <c r="AG89" s="65">
        <f t="shared" si="28"/>
        <v>0</v>
      </c>
      <c r="AH89" s="65">
        <f t="shared" si="28"/>
        <v>0</v>
      </c>
      <c r="AI89" s="65">
        <f t="shared" si="28"/>
        <v>0</v>
      </c>
      <c r="AJ89" s="65">
        <f t="shared" si="28"/>
        <v>0</v>
      </c>
      <c r="AK89" s="65">
        <f t="shared" si="28"/>
        <v>0</v>
      </c>
      <c r="AL89" s="65">
        <f t="shared" si="28"/>
        <v>0</v>
      </c>
      <c r="AM89" s="65">
        <f t="shared" si="28"/>
        <v>0</v>
      </c>
      <c r="AN89" s="33">
        <f t="shared" si="28"/>
        <v>0</v>
      </c>
      <c r="AO89" s="833" t="str">
        <f t="shared" si="25"/>
        <v>Si</v>
      </c>
      <c r="AP89" s="33">
        <f t="shared" si="26"/>
        <v>0</v>
      </c>
    </row>
    <row r="90" spans="2:42" s="47" customFormat="1" x14ac:dyDescent="0.3">
      <c r="B90" s="48" t="s">
        <v>647</v>
      </c>
      <c r="C90" s="46" t="s">
        <v>648</v>
      </c>
      <c r="D90" s="49" t="s">
        <v>649</v>
      </c>
      <c r="E90" s="49">
        <v>46305</v>
      </c>
      <c r="F90" s="44">
        <f t="shared" si="0"/>
        <v>10</v>
      </c>
      <c r="G90" s="44" t="s">
        <v>490</v>
      </c>
      <c r="H90" s="44" t="s">
        <v>650</v>
      </c>
      <c r="I90" s="66">
        <v>0</v>
      </c>
      <c r="J90" s="45">
        <f t="shared" si="6"/>
        <v>0</v>
      </c>
      <c r="K90" s="130">
        <v>0</v>
      </c>
      <c r="L90" s="66">
        <v>0</v>
      </c>
      <c r="M90" s="66">
        <v>0</v>
      </c>
      <c r="N90" s="66">
        <v>0</v>
      </c>
      <c r="O90" s="66">
        <v>0</v>
      </c>
      <c r="P90" s="45">
        <v>0</v>
      </c>
      <c r="Q90" s="85">
        <v>0</v>
      </c>
      <c r="R90" s="66">
        <v>0</v>
      </c>
      <c r="S90" s="66">
        <v>0</v>
      </c>
      <c r="T90" s="66">
        <v>0</v>
      </c>
      <c r="U90" s="66">
        <v>0</v>
      </c>
      <c r="V90" s="66">
        <v>0</v>
      </c>
      <c r="W90" s="66">
        <v>0</v>
      </c>
      <c r="X90" s="66">
        <v>0</v>
      </c>
      <c r="Y90" s="66">
        <v>0</v>
      </c>
      <c r="Z90" s="66">
        <v>0</v>
      </c>
      <c r="AA90" s="66">
        <v>0</v>
      </c>
      <c r="AB90" s="45">
        <v>0</v>
      </c>
      <c r="AC90" s="85">
        <v>0</v>
      </c>
      <c r="AD90" s="66">
        <v>0</v>
      </c>
      <c r="AE90" s="66">
        <v>0</v>
      </c>
      <c r="AF90" s="66">
        <v>0</v>
      </c>
      <c r="AG90" s="66">
        <v>0</v>
      </c>
      <c r="AH90" s="66">
        <v>0</v>
      </c>
      <c r="AI90" s="66">
        <v>0</v>
      </c>
      <c r="AJ90" s="66">
        <v>0</v>
      </c>
      <c r="AK90" s="66">
        <v>0</v>
      </c>
      <c r="AL90" s="66">
        <v>0</v>
      </c>
      <c r="AM90" s="66">
        <v>0</v>
      </c>
      <c r="AN90" s="45">
        <v>0</v>
      </c>
      <c r="AO90" s="834" t="str">
        <f t="shared" si="25"/>
        <v>Si</v>
      </c>
      <c r="AP90" s="45">
        <f t="shared" si="26"/>
        <v>0</v>
      </c>
    </row>
    <row r="91" spans="2:42" s="47" customFormat="1" x14ac:dyDescent="0.3">
      <c r="B91" s="48" t="s">
        <v>650</v>
      </c>
      <c r="C91" s="46" t="s">
        <v>651</v>
      </c>
      <c r="D91" s="49">
        <v>46305</v>
      </c>
      <c r="E91" s="49" t="s">
        <v>652</v>
      </c>
      <c r="F91" s="44">
        <f t="shared" si="0"/>
        <v>10</v>
      </c>
      <c r="G91" s="44" t="s">
        <v>647</v>
      </c>
      <c r="H91" s="44" t="s">
        <v>653</v>
      </c>
      <c r="I91" s="66">
        <v>0</v>
      </c>
      <c r="J91" s="45">
        <f t="shared" ref="J91:J150" si="29">+I91/$J$13</f>
        <v>0</v>
      </c>
      <c r="K91" s="130">
        <v>0</v>
      </c>
      <c r="L91" s="66">
        <v>0</v>
      </c>
      <c r="M91" s="66">
        <v>0</v>
      </c>
      <c r="N91" s="66">
        <v>0</v>
      </c>
      <c r="O91" s="66">
        <v>0</v>
      </c>
      <c r="P91" s="45">
        <v>0</v>
      </c>
      <c r="Q91" s="85">
        <v>0</v>
      </c>
      <c r="R91" s="66">
        <v>0</v>
      </c>
      <c r="S91" s="66">
        <v>0</v>
      </c>
      <c r="T91" s="66">
        <v>0</v>
      </c>
      <c r="U91" s="66">
        <v>0</v>
      </c>
      <c r="V91" s="66">
        <v>0</v>
      </c>
      <c r="W91" s="66">
        <v>0</v>
      </c>
      <c r="X91" s="66">
        <v>0</v>
      </c>
      <c r="Y91" s="66">
        <v>0</v>
      </c>
      <c r="Z91" s="66">
        <v>0</v>
      </c>
      <c r="AA91" s="66">
        <v>0</v>
      </c>
      <c r="AB91" s="45">
        <v>0</v>
      </c>
      <c r="AC91" s="85">
        <v>0</v>
      </c>
      <c r="AD91" s="66">
        <v>0</v>
      </c>
      <c r="AE91" s="66">
        <v>0</v>
      </c>
      <c r="AF91" s="66">
        <v>0</v>
      </c>
      <c r="AG91" s="66">
        <v>0</v>
      </c>
      <c r="AH91" s="66">
        <v>0</v>
      </c>
      <c r="AI91" s="66">
        <v>0</v>
      </c>
      <c r="AJ91" s="66">
        <v>0</v>
      </c>
      <c r="AK91" s="66">
        <v>0</v>
      </c>
      <c r="AL91" s="66">
        <v>0</v>
      </c>
      <c r="AM91" s="66">
        <v>0</v>
      </c>
      <c r="AN91" s="45">
        <v>0</v>
      </c>
      <c r="AO91" s="834" t="str">
        <f t="shared" si="25"/>
        <v>Si</v>
      </c>
      <c r="AP91" s="45">
        <f t="shared" si="26"/>
        <v>0</v>
      </c>
    </row>
    <row r="92" spans="2:42" s="47" customFormat="1" x14ac:dyDescent="0.3">
      <c r="B92" s="48" t="s">
        <v>653</v>
      </c>
      <c r="C92" s="46" t="s">
        <v>654</v>
      </c>
      <c r="D92" s="49" t="s">
        <v>652</v>
      </c>
      <c r="E92" s="49" t="s">
        <v>655</v>
      </c>
      <c r="F92" s="44">
        <f t="shared" si="0"/>
        <v>5</v>
      </c>
      <c r="G92" s="44" t="s">
        <v>650</v>
      </c>
      <c r="H92" s="44" t="s">
        <v>656</v>
      </c>
      <c r="I92" s="66">
        <v>0</v>
      </c>
      <c r="J92" s="45">
        <f t="shared" si="29"/>
        <v>0</v>
      </c>
      <c r="K92" s="130">
        <v>0</v>
      </c>
      <c r="L92" s="66">
        <v>0</v>
      </c>
      <c r="M92" s="66">
        <v>0</v>
      </c>
      <c r="N92" s="66">
        <v>0</v>
      </c>
      <c r="O92" s="66">
        <v>0</v>
      </c>
      <c r="P92" s="45">
        <v>0</v>
      </c>
      <c r="Q92" s="85">
        <v>0</v>
      </c>
      <c r="R92" s="66">
        <v>0</v>
      </c>
      <c r="S92" s="66">
        <v>0</v>
      </c>
      <c r="T92" s="66">
        <v>0</v>
      </c>
      <c r="U92" s="66">
        <v>0</v>
      </c>
      <c r="V92" s="66">
        <v>0</v>
      </c>
      <c r="W92" s="66">
        <v>0</v>
      </c>
      <c r="X92" s="66">
        <v>0</v>
      </c>
      <c r="Y92" s="66">
        <v>0</v>
      </c>
      <c r="Z92" s="66">
        <v>0</v>
      </c>
      <c r="AA92" s="66">
        <v>0</v>
      </c>
      <c r="AB92" s="45">
        <v>0</v>
      </c>
      <c r="AC92" s="85">
        <v>0</v>
      </c>
      <c r="AD92" s="66">
        <v>0</v>
      </c>
      <c r="AE92" s="66">
        <v>0</v>
      </c>
      <c r="AF92" s="66">
        <v>0</v>
      </c>
      <c r="AG92" s="66">
        <v>0</v>
      </c>
      <c r="AH92" s="66">
        <v>0</v>
      </c>
      <c r="AI92" s="66">
        <v>0</v>
      </c>
      <c r="AJ92" s="66">
        <v>0</v>
      </c>
      <c r="AK92" s="66">
        <v>0</v>
      </c>
      <c r="AL92" s="66">
        <v>0</v>
      </c>
      <c r="AM92" s="66">
        <v>0</v>
      </c>
      <c r="AN92" s="45">
        <v>0</v>
      </c>
      <c r="AO92" s="834" t="str">
        <f t="shared" si="25"/>
        <v>Si</v>
      </c>
      <c r="AP92" s="45">
        <f t="shared" si="26"/>
        <v>0</v>
      </c>
    </row>
    <row r="93" spans="2:42" s="47" customFormat="1" x14ac:dyDescent="0.3">
      <c r="B93" s="48" t="s">
        <v>656</v>
      </c>
      <c r="C93" s="46" t="s">
        <v>657</v>
      </c>
      <c r="D93" s="49">
        <v>46326</v>
      </c>
      <c r="E93" s="49" t="s">
        <v>658</v>
      </c>
      <c r="F93" s="44">
        <f t="shared" si="0"/>
        <v>0</v>
      </c>
      <c r="G93" s="44" t="s">
        <v>653</v>
      </c>
      <c r="H93" s="44" t="s">
        <v>491</v>
      </c>
      <c r="I93" s="66">
        <v>0</v>
      </c>
      <c r="J93" s="45">
        <f t="shared" si="29"/>
        <v>0</v>
      </c>
      <c r="K93" s="130">
        <v>0</v>
      </c>
      <c r="L93" s="66">
        <v>0</v>
      </c>
      <c r="M93" s="66">
        <v>0</v>
      </c>
      <c r="N93" s="66">
        <v>0</v>
      </c>
      <c r="O93" s="66">
        <v>0</v>
      </c>
      <c r="P93" s="45">
        <v>0</v>
      </c>
      <c r="Q93" s="85">
        <v>0</v>
      </c>
      <c r="R93" s="66">
        <v>0</v>
      </c>
      <c r="S93" s="66">
        <v>0</v>
      </c>
      <c r="T93" s="66">
        <v>0</v>
      </c>
      <c r="U93" s="66">
        <v>0</v>
      </c>
      <c r="V93" s="66">
        <v>0</v>
      </c>
      <c r="W93" s="66">
        <v>0</v>
      </c>
      <c r="X93" s="66">
        <v>0</v>
      </c>
      <c r="Y93" s="66">
        <v>0</v>
      </c>
      <c r="Z93" s="66">
        <v>0</v>
      </c>
      <c r="AA93" s="66">
        <v>0</v>
      </c>
      <c r="AB93" s="45">
        <v>0</v>
      </c>
      <c r="AC93" s="85">
        <v>0</v>
      </c>
      <c r="AD93" s="66">
        <v>0</v>
      </c>
      <c r="AE93" s="66">
        <v>0</v>
      </c>
      <c r="AF93" s="66">
        <v>0</v>
      </c>
      <c r="AG93" s="66">
        <v>0</v>
      </c>
      <c r="AH93" s="66">
        <v>0</v>
      </c>
      <c r="AI93" s="66">
        <v>0</v>
      </c>
      <c r="AJ93" s="66">
        <v>0</v>
      </c>
      <c r="AK93" s="66">
        <v>0</v>
      </c>
      <c r="AL93" s="66">
        <v>0</v>
      </c>
      <c r="AM93" s="66">
        <v>0</v>
      </c>
      <c r="AN93" s="45">
        <v>0</v>
      </c>
      <c r="AO93" s="834" t="str">
        <f t="shared" si="25"/>
        <v>Si</v>
      </c>
      <c r="AP93" s="45">
        <f t="shared" si="26"/>
        <v>0</v>
      </c>
    </row>
    <row r="94" spans="2:42" ht="28.8" x14ac:dyDescent="0.3">
      <c r="B94" s="30" t="s">
        <v>35</v>
      </c>
      <c r="C94" s="2" t="s">
        <v>659</v>
      </c>
      <c r="D94" s="42">
        <f>+D95</f>
        <v>45992</v>
      </c>
      <c r="E94" s="42">
        <f>+E98</f>
        <v>46096</v>
      </c>
      <c r="F94" s="40">
        <f t="shared" ref="F94:F153" si="30">ABS(+_xlfn.DAYS(D94,E94))</f>
        <v>104</v>
      </c>
      <c r="G94" s="40" t="str">
        <f>+G95</f>
        <v>INICIO</v>
      </c>
      <c r="H94" s="40" t="str">
        <f>+H98</f>
        <v>FIN</v>
      </c>
      <c r="I94" s="65">
        <f>+SUM(I95:I98)+144100000</f>
        <v>144100000</v>
      </c>
      <c r="J94" s="33">
        <f t="shared" si="29"/>
        <v>2200000</v>
      </c>
      <c r="K94" s="622">
        <f t="shared" ref="K94:AN94" si="31">+SUM(K95:K98)</f>
        <v>0</v>
      </c>
      <c r="L94" s="65">
        <f t="shared" si="31"/>
        <v>0</v>
      </c>
      <c r="M94" s="65">
        <f t="shared" si="31"/>
        <v>0</v>
      </c>
      <c r="N94" s="65">
        <f t="shared" si="31"/>
        <v>0</v>
      </c>
      <c r="O94" s="65">
        <f t="shared" si="31"/>
        <v>0</v>
      </c>
      <c r="P94" s="33">
        <f>+SUM(P95:P98)</f>
        <v>0</v>
      </c>
      <c r="Q94" s="84">
        <v>0</v>
      </c>
      <c r="R94" s="65">
        <v>400000</v>
      </c>
      <c r="S94" s="65">
        <v>400000</v>
      </c>
      <c r="T94" s="65">
        <v>400000</v>
      </c>
      <c r="U94" s="65">
        <f t="shared" si="31"/>
        <v>0</v>
      </c>
      <c r="V94" s="65">
        <f t="shared" si="31"/>
        <v>0</v>
      </c>
      <c r="W94" s="65">
        <f t="shared" si="31"/>
        <v>0</v>
      </c>
      <c r="X94" s="65">
        <v>200000</v>
      </c>
      <c r="Y94" s="65">
        <v>0</v>
      </c>
      <c r="Z94" s="65">
        <v>0</v>
      </c>
      <c r="AA94" s="65">
        <v>0</v>
      </c>
      <c r="AB94" s="33">
        <v>0</v>
      </c>
      <c r="AC94" s="84">
        <v>0</v>
      </c>
      <c r="AD94" s="65">
        <v>500000</v>
      </c>
      <c r="AE94" s="65">
        <v>0</v>
      </c>
      <c r="AF94" s="65">
        <v>0</v>
      </c>
      <c r="AG94" s="65">
        <v>0</v>
      </c>
      <c r="AH94" s="65">
        <v>0</v>
      </c>
      <c r="AI94" s="65">
        <v>0</v>
      </c>
      <c r="AJ94" s="65">
        <v>300000</v>
      </c>
      <c r="AK94" s="65">
        <f t="shared" si="31"/>
        <v>0</v>
      </c>
      <c r="AL94" s="65">
        <f t="shared" si="31"/>
        <v>0</v>
      </c>
      <c r="AM94" s="65">
        <f t="shared" si="31"/>
        <v>0</v>
      </c>
      <c r="AN94" s="33">
        <f t="shared" si="31"/>
        <v>0</v>
      </c>
      <c r="AO94" s="833" t="str">
        <f t="shared" si="25"/>
        <v>Si</v>
      </c>
      <c r="AP94" s="33">
        <f t="shared" si="26"/>
        <v>2200000</v>
      </c>
    </row>
    <row r="95" spans="2:42" s="47" customFormat="1" x14ac:dyDescent="0.3">
      <c r="B95" s="48" t="s">
        <v>660</v>
      </c>
      <c r="C95" s="46" t="s">
        <v>661</v>
      </c>
      <c r="D95" s="49">
        <v>45992</v>
      </c>
      <c r="E95" s="49">
        <v>46022</v>
      </c>
      <c r="F95" s="44">
        <f t="shared" si="30"/>
        <v>30</v>
      </c>
      <c r="G95" s="44" t="s">
        <v>490</v>
      </c>
      <c r="H95" s="44" t="s">
        <v>662</v>
      </c>
      <c r="I95" s="66">
        <v>0</v>
      </c>
      <c r="J95" s="45">
        <f t="shared" si="29"/>
        <v>0</v>
      </c>
      <c r="K95" s="130">
        <v>0</v>
      </c>
      <c r="L95" s="66">
        <v>0</v>
      </c>
      <c r="M95" s="66">
        <v>0</v>
      </c>
      <c r="N95" s="66">
        <v>0</v>
      </c>
      <c r="O95" s="66">
        <v>0</v>
      </c>
      <c r="P95" s="45">
        <v>0</v>
      </c>
      <c r="Q95" s="85">
        <v>0</v>
      </c>
      <c r="R95" s="66">
        <v>0</v>
      </c>
      <c r="S95" s="66">
        <v>0</v>
      </c>
      <c r="T95" s="66">
        <v>0</v>
      </c>
      <c r="U95" s="66">
        <v>0</v>
      </c>
      <c r="V95" s="66">
        <v>0</v>
      </c>
      <c r="W95" s="66">
        <v>0</v>
      </c>
      <c r="X95" s="66">
        <v>0</v>
      </c>
      <c r="Y95" s="66">
        <v>0</v>
      </c>
      <c r="Z95" s="66">
        <v>0</v>
      </c>
      <c r="AA95" s="66">
        <v>0</v>
      </c>
      <c r="AB95" s="45">
        <v>0</v>
      </c>
      <c r="AC95" s="85">
        <v>0</v>
      </c>
      <c r="AD95" s="66">
        <v>0</v>
      </c>
      <c r="AE95" s="66">
        <v>0</v>
      </c>
      <c r="AF95" s="66">
        <v>0</v>
      </c>
      <c r="AG95" s="66">
        <v>0</v>
      </c>
      <c r="AH95" s="66">
        <v>0</v>
      </c>
      <c r="AI95" s="66">
        <v>0</v>
      </c>
      <c r="AJ95" s="66">
        <v>0</v>
      </c>
      <c r="AK95" s="66">
        <v>0</v>
      </c>
      <c r="AL95" s="66">
        <v>0</v>
      </c>
      <c r="AM95" s="66">
        <v>0</v>
      </c>
      <c r="AN95" s="45">
        <v>0</v>
      </c>
      <c r="AO95" s="834" t="str">
        <f t="shared" si="25"/>
        <v>Si</v>
      </c>
      <c r="AP95" s="45">
        <f t="shared" si="26"/>
        <v>0</v>
      </c>
    </row>
    <row r="96" spans="2:42" s="47" customFormat="1" x14ac:dyDescent="0.3">
      <c r="B96" s="48" t="s">
        <v>663</v>
      </c>
      <c r="C96" s="46" t="s">
        <v>664</v>
      </c>
      <c r="D96" s="49">
        <v>45992</v>
      </c>
      <c r="E96" s="49">
        <v>46022</v>
      </c>
      <c r="F96" s="44">
        <f t="shared" si="30"/>
        <v>30</v>
      </c>
      <c r="G96" s="44" t="s">
        <v>490</v>
      </c>
      <c r="H96" s="44" t="s">
        <v>662</v>
      </c>
      <c r="I96" s="66">
        <v>0</v>
      </c>
      <c r="J96" s="45">
        <f t="shared" si="29"/>
        <v>0</v>
      </c>
      <c r="K96" s="130">
        <v>0</v>
      </c>
      <c r="L96" s="66">
        <v>0</v>
      </c>
      <c r="M96" s="66">
        <v>0</v>
      </c>
      <c r="N96" s="66">
        <v>0</v>
      </c>
      <c r="O96" s="66">
        <v>0</v>
      </c>
      <c r="P96" s="45">
        <v>0</v>
      </c>
      <c r="Q96" s="85">
        <v>0</v>
      </c>
      <c r="R96" s="66">
        <v>0</v>
      </c>
      <c r="S96" s="66">
        <v>0</v>
      </c>
      <c r="T96" s="66">
        <v>0</v>
      </c>
      <c r="U96" s="66">
        <v>0</v>
      </c>
      <c r="V96" s="66">
        <v>0</v>
      </c>
      <c r="W96" s="66">
        <v>0</v>
      </c>
      <c r="X96" s="66">
        <v>0</v>
      </c>
      <c r="Y96" s="66">
        <v>0</v>
      </c>
      <c r="Z96" s="66">
        <v>0</v>
      </c>
      <c r="AA96" s="66">
        <v>0</v>
      </c>
      <c r="AB96" s="45">
        <v>0</v>
      </c>
      <c r="AC96" s="85">
        <v>0</v>
      </c>
      <c r="AD96" s="66">
        <v>0</v>
      </c>
      <c r="AE96" s="66">
        <v>0</v>
      </c>
      <c r="AF96" s="66">
        <v>0</v>
      </c>
      <c r="AG96" s="66">
        <v>0</v>
      </c>
      <c r="AH96" s="66">
        <v>0</v>
      </c>
      <c r="AI96" s="66">
        <v>0</v>
      </c>
      <c r="AJ96" s="66">
        <v>0</v>
      </c>
      <c r="AK96" s="66">
        <v>0</v>
      </c>
      <c r="AL96" s="66">
        <v>0</v>
      </c>
      <c r="AM96" s="66">
        <v>0</v>
      </c>
      <c r="AN96" s="45">
        <v>0</v>
      </c>
      <c r="AO96" s="834" t="str">
        <f t="shared" si="25"/>
        <v>Si</v>
      </c>
      <c r="AP96" s="45">
        <f t="shared" si="26"/>
        <v>0</v>
      </c>
    </row>
    <row r="97" spans="2:42" s="47" customFormat="1" x14ac:dyDescent="0.3">
      <c r="B97" s="48" t="s">
        <v>662</v>
      </c>
      <c r="C97" s="46" t="s">
        <v>665</v>
      </c>
      <c r="D97" s="49">
        <v>46037</v>
      </c>
      <c r="E97" s="49">
        <v>46068</v>
      </c>
      <c r="F97" s="44">
        <f t="shared" si="30"/>
        <v>31</v>
      </c>
      <c r="G97" s="44" t="s">
        <v>663</v>
      </c>
      <c r="H97" s="44" t="s">
        <v>666</v>
      </c>
      <c r="I97" s="66">
        <v>0</v>
      </c>
      <c r="J97" s="45">
        <f t="shared" si="29"/>
        <v>0</v>
      </c>
      <c r="K97" s="130">
        <v>0</v>
      </c>
      <c r="L97" s="66">
        <v>0</v>
      </c>
      <c r="M97" s="66">
        <v>0</v>
      </c>
      <c r="N97" s="66">
        <v>0</v>
      </c>
      <c r="O97" s="66">
        <v>0</v>
      </c>
      <c r="P97" s="45">
        <v>0</v>
      </c>
      <c r="Q97" s="85">
        <v>0</v>
      </c>
      <c r="R97" s="66">
        <v>0</v>
      </c>
      <c r="S97" s="66">
        <v>0</v>
      </c>
      <c r="T97" s="66">
        <v>0</v>
      </c>
      <c r="U97" s="66">
        <v>0</v>
      </c>
      <c r="V97" s="66">
        <v>0</v>
      </c>
      <c r="W97" s="66">
        <v>0</v>
      </c>
      <c r="X97" s="66">
        <v>0</v>
      </c>
      <c r="Y97" s="66">
        <v>0</v>
      </c>
      <c r="Z97" s="66">
        <v>0</v>
      </c>
      <c r="AA97" s="66">
        <v>0</v>
      </c>
      <c r="AB97" s="45">
        <v>0</v>
      </c>
      <c r="AC97" s="85">
        <v>0</v>
      </c>
      <c r="AD97" s="66">
        <v>0</v>
      </c>
      <c r="AE97" s="66">
        <v>0</v>
      </c>
      <c r="AF97" s="66">
        <v>0</v>
      </c>
      <c r="AG97" s="66">
        <v>0</v>
      </c>
      <c r="AH97" s="66">
        <v>0</v>
      </c>
      <c r="AI97" s="66">
        <v>0</v>
      </c>
      <c r="AJ97" s="66">
        <v>0</v>
      </c>
      <c r="AK97" s="66">
        <v>0</v>
      </c>
      <c r="AL97" s="66">
        <v>0</v>
      </c>
      <c r="AM97" s="66">
        <v>0</v>
      </c>
      <c r="AN97" s="45">
        <v>0</v>
      </c>
      <c r="AO97" s="834" t="str">
        <f t="shared" si="25"/>
        <v>Si</v>
      </c>
      <c r="AP97" s="45">
        <f t="shared" si="26"/>
        <v>0</v>
      </c>
    </row>
    <row r="98" spans="2:42" s="47" customFormat="1" x14ac:dyDescent="0.3">
      <c r="B98" s="48" t="s">
        <v>666</v>
      </c>
      <c r="C98" s="46" t="s">
        <v>667</v>
      </c>
      <c r="D98" s="49">
        <v>46068</v>
      </c>
      <c r="E98" s="49">
        <v>46096</v>
      </c>
      <c r="F98" s="44">
        <f t="shared" si="30"/>
        <v>28</v>
      </c>
      <c r="G98" s="44" t="s">
        <v>662</v>
      </c>
      <c r="H98" s="44" t="s">
        <v>491</v>
      </c>
      <c r="I98" s="66">
        <v>0</v>
      </c>
      <c r="J98" s="45">
        <v>0</v>
      </c>
      <c r="K98" s="130">
        <v>0</v>
      </c>
      <c r="L98" s="66">
        <v>0</v>
      </c>
      <c r="M98" s="66">
        <v>0</v>
      </c>
      <c r="N98" s="66">
        <v>0</v>
      </c>
      <c r="O98" s="66">
        <v>0</v>
      </c>
      <c r="P98" s="45">
        <v>0</v>
      </c>
      <c r="Q98" s="85">
        <v>0</v>
      </c>
      <c r="R98" s="66">
        <v>0</v>
      </c>
      <c r="S98" s="66">
        <v>0</v>
      </c>
      <c r="T98" s="66">
        <v>0</v>
      </c>
      <c r="U98" s="66">
        <v>0</v>
      </c>
      <c r="V98" s="66">
        <v>0</v>
      </c>
      <c r="W98" s="66">
        <v>0</v>
      </c>
      <c r="X98" s="66">
        <v>0</v>
      </c>
      <c r="Y98" s="66">
        <v>0</v>
      </c>
      <c r="Z98" s="66">
        <v>0</v>
      </c>
      <c r="AA98" s="66">
        <v>0</v>
      </c>
      <c r="AB98" s="45">
        <v>0</v>
      </c>
      <c r="AC98" s="85">
        <v>0</v>
      </c>
      <c r="AD98" s="66">
        <v>0</v>
      </c>
      <c r="AE98" s="66">
        <v>0</v>
      </c>
      <c r="AF98" s="66">
        <v>0</v>
      </c>
      <c r="AG98" s="66">
        <v>0</v>
      </c>
      <c r="AH98" s="66">
        <v>0</v>
      </c>
      <c r="AI98" s="66">
        <v>0</v>
      </c>
      <c r="AJ98" s="66">
        <v>0</v>
      </c>
      <c r="AK98" s="66">
        <v>0</v>
      </c>
      <c r="AL98" s="66">
        <v>0</v>
      </c>
      <c r="AM98" s="66">
        <v>0</v>
      </c>
      <c r="AN98" s="45">
        <v>0</v>
      </c>
      <c r="AO98" s="834" t="str">
        <f t="shared" si="25"/>
        <v>Si</v>
      </c>
      <c r="AP98" s="45">
        <f t="shared" si="26"/>
        <v>0</v>
      </c>
    </row>
    <row r="99" spans="2:42" x14ac:dyDescent="0.3">
      <c r="B99" s="30" t="s">
        <v>37</v>
      </c>
      <c r="C99" s="2" t="s">
        <v>38</v>
      </c>
      <c r="D99" s="42">
        <f>+D100</f>
        <v>46028</v>
      </c>
      <c r="E99" s="42">
        <f>+E102</f>
        <v>46234</v>
      </c>
      <c r="F99" s="40">
        <f t="shared" si="30"/>
        <v>206</v>
      </c>
      <c r="G99" s="40" t="str">
        <f>+G100</f>
        <v>INICIO</v>
      </c>
      <c r="H99" s="40" t="str">
        <f>+H102</f>
        <v>FIN</v>
      </c>
      <c r="I99" s="68">
        <f>+SUM(I100:I102)</f>
        <v>2183333.1150000002</v>
      </c>
      <c r="J99" s="569">
        <f t="shared" si="29"/>
        <v>33333.33</v>
      </c>
      <c r="K99" s="624">
        <f t="shared" ref="K99:AN99" si="32">+SUM(K100:K102)</f>
        <v>0</v>
      </c>
      <c r="L99" s="68">
        <f t="shared" si="32"/>
        <v>0</v>
      </c>
      <c r="M99" s="68">
        <f t="shared" si="32"/>
        <v>0</v>
      </c>
      <c r="N99" s="68">
        <f t="shared" si="32"/>
        <v>0</v>
      </c>
      <c r="O99" s="68">
        <f t="shared" si="32"/>
        <v>0</v>
      </c>
      <c r="P99" s="569">
        <f t="shared" si="32"/>
        <v>0</v>
      </c>
      <c r="Q99" s="84">
        <f t="shared" si="32"/>
        <v>0</v>
      </c>
      <c r="R99" s="65">
        <f t="shared" si="32"/>
        <v>6666.6660000000011</v>
      </c>
      <c r="S99" s="65">
        <f t="shared" si="32"/>
        <v>0</v>
      </c>
      <c r="T99" s="65">
        <f t="shared" si="32"/>
        <v>0</v>
      </c>
      <c r="U99" s="65">
        <f t="shared" si="32"/>
        <v>16666.665000000001</v>
      </c>
      <c r="V99" s="65">
        <f t="shared" si="32"/>
        <v>0</v>
      </c>
      <c r="W99" s="65">
        <f t="shared" si="32"/>
        <v>0</v>
      </c>
      <c r="X99" s="65">
        <f t="shared" si="32"/>
        <v>9999.9989999999998</v>
      </c>
      <c r="Y99" s="65">
        <f t="shared" si="32"/>
        <v>0</v>
      </c>
      <c r="Z99" s="65">
        <f t="shared" si="32"/>
        <v>0</v>
      </c>
      <c r="AA99" s="65">
        <f t="shared" si="32"/>
        <v>0</v>
      </c>
      <c r="AB99" s="33">
        <f t="shared" si="32"/>
        <v>0</v>
      </c>
      <c r="AC99" s="84">
        <f t="shared" si="32"/>
        <v>0</v>
      </c>
      <c r="AD99" s="65">
        <f t="shared" si="32"/>
        <v>0</v>
      </c>
      <c r="AE99" s="65">
        <f t="shared" si="32"/>
        <v>0</v>
      </c>
      <c r="AF99" s="65">
        <f t="shared" si="32"/>
        <v>0</v>
      </c>
      <c r="AG99" s="65">
        <f t="shared" si="32"/>
        <v>0</v>
      </c>
      <c r="AH99" s="65">
        <f t="shared" si="32"/>
        <v>0</v>
      </c>
      <c r="AI99" s="65">
        <f t="shared" si="32"/>
        <v>0</v>
      </c>
      <c r="AJ99" s="65">
        <f t="shared" si="32"/>
        <v>0</v>
      </c>
      <c r="AK99" s="65">
        <f t="shared" si="32"/>
        <v>0</v>
      </c>
      <c r="AL99" s="65">
        <f t="shared" si="32"/>
        <v>0</v>
      </c>
      <c r="AM99" s="65">
        <f t="shared" si="32"/>
        <v>0</v>
      </c>
      <c r="AN99" s="33">
        <f t="shared" si="32"/>
        <v>0</v>
      </c>
      <c r="AO99" s="833" t="str">
        <f t="shared" si="25"/>
        <v>Si</v>
      </c>
      <c r="AP99" s="33">
        <f t="shared" si="26"/>
        <v>33333.33</v>
      </c>
    </row>
    <row r="100" spans="2:42" s="47" customFormat="1" x14ac:dyDescent="0.3">
      <c r="B100" s="48" t="s">
        <v>668</v>
      </c>
      <c r="C100" s="46" t="s">
        <v>669</v>
      </c>
      <c r="D100" s="49">
        <v>46028</v>
      </c>
      <c r="E100" s="49">
        <v>46053</v>
      </c>
      <c r="F100" s="44">
        <f t="shared" si="30"/>
        <v>25</v>
      </c>
      <c r="G100" s="44" t="s">
        <v>490</v>
      </c>
      <c r="H100" s="44" t="s">
        <v>670</v>
      </c>
      <c r="I100" s="66">
        <v>2183333.1150000002</v>
      </c>
      <c r="J100" s="45">
        <f t="shared" si="29"/>
        <v>33333.33</v>
      </c>
      <c r="K100" s="130">
        <v>0</v>
      </c>
      <c r="L100" s="66">
        <v>0</v>
      </c>
      <c r="M100" s="66">
        <v>0</v>
      </c>
      <c r="N100" s="66">
        <v>0</v>
      </c>
      <c r="O100" s="66">
        <v>0</v>
      </c>
      <c r="P100" s="45">
        <v>0</v>
      </c>
      <c r="Q100" s="85">
        <v>0</v>
      </c>
      <c r="R100" s="66">
        <v>6666.6660000000011</v>
      </c>
      <c r="S100" s="66"/>
      <c r="T100" s="66"/>
      <c r="U100" s="66">
        <v>16666.665000000001</v>
      </c>
      <c r="V100" s="66"/>
      <c r="W100" s="66"/>
      <c r="X100" s="66">
        <v>9999.9989999999998</v>
      </c>
      <c r="Y100" s="66">
        <v>0</v>
      </c>
      <c r="Z100" s="66">
        <v>0</v>
      </c>
      <c r="AA100" s="66">
        <v>0</v>
      </c>
      <c r="AB100" s="45">
        <v>0</v>
      </c>
      <c r="AC100" s="85">
        <v>0</v>
      </c>
      <c r="AD100" s="66">
        <v>0</v>
      </c>
      <c r="AE100" s="66">
        <v>0</v>
      </c>
      <c r="AF100" s="66">
        <v>0</v>
      </c>
      <c r="AG100" s="66">
        <v>0</v>
      </c>
      <c r="AH100" s="66">
        <v>0</v>
      </c>
      <c r="AI100" s="66">
        <v>0</v>
      </c>
      <c r="AJ100" s="66">
        <v>0</v>
      </c>
      <c r="AK100" s="66">
        <v>0</v>
      </c>
      <c r="AL100" s="66">
        <v>0</v>
      </c>
      <c r="AM100" s="66">
        <v>0</v>
      </c>
      <c r="AN100" s="45">
        <v>0</v>
      </c>
      <c r="AO100" s="834" t="str">
        <f t="shared" si="25"/>
        <v>Si</v>
      </c>
      <c r="AP100" s="45">
        <f t="shared" si="26"/>
        <v>33333.33</v>
      </c>
    </row>
    <row r="101" spans="2:42" s="47" customFormat="1" x14ac:dyDescent="0.3">
      <c r="B101" s="48" t="s">
        <v>670</v>
      </c>
      <c r="C101" s="46" t="s">
        <v>671</v>
      </c>
      <c r="D101" s="49">
        <v>46054</v>
      </c>
      <c r="E101" s="49">
        <v>46203</v>
      </c>
      <c r="F101" s="44">
        <f>ABS(+_xlfn.DAYS(D101,E101))</f>
        <v>149</v>
      </c>
      <c r="G101" s="44" t="s">
        <v>668</v>
      </c>
      <c r="H101" s="44" t="s">
        <v>672</v>
      </c>
      <c r="I101" s="66">
        <v>0</v>
      </c>
      <c r="J101" s="45">
        <f t="shared" si="29"/>
        <v>0</v>
      </c>
      <c r="K101" s="130">
        <v>0</v>
      </c>
      <c r="L101" s="66">
        <v>0</v>
      </c>
      <c r="M101" s="66">
        <v>0</v>
      </c>
      <c r="N101" s="66">
        <v>0</v>
      </c>
      <c r="O101" s="66">
        <v>0</v>
      </c>
      <c r="P101" s="45">
        <v>0</v>
      </c>
      <c r="Q101" s="85">
        <v>0</v>
      </c>
      <c r="R101" s="66">
        <v>0</v>
      </c>
      <c r="S101" s="66">
        <v>0</v>
      </c>
      <c r="T101" s="66">
        <v>0</v>
      </c>
      <c r="U101" s="66">
        <v>0</v>
      </c>
      <c r="V101" s="66">
        <v>0</v>
      </c>
      <c r="W101" s="66">
        <v>0</v>
      </c>
      <c r="X101" s="66">
        <v>0</v>
      </c>
      <c r="Y101" s="66">
        <v>0</v>
      </c>
      <c r="Z101" s="66">
        <v>0</v>
      </c>
      <c r="AA101" s="66">
        <v>0</v>
      </c>
      <c r="AB101" s="45">
        <v>0</v>
      </c>
      <c r="AC101" s="85">
        <v>0</v>
      </c>
      <c r="AD101" s="66">
        <v>0</v>
      </c>
      <c r="AE101" s="66">
        <v>0</v>
      </c>
      <c r="AF101" s="66">
        <v>0</v>
      </c>
      <c r="AG101" s="66">
        <v>0</v>
      </c>
      <c r="AH101" s="66">
        <v>0</v>
      </c>
      <c r="AI101" s="66">
        <v>0</v>
      </c>
      <c r="AJ101" s="66">
        <v>0</v>
      </c>
      <c r="AK101" s="66">
        <v>0</v>
      </c>
      <c r="AL101" s="66">
        <v>0</v>
      </c>
      <c r="AM101" s="66">
        <v>0</v>
      </c>
      <c r="AN101" s="45">
        <v>0</v>
      </c>
      <c r="AO101" s="834" t="str">
        <f t="shared" si="25"/>
        <v>Si</v>
      </c>
      <c r="AP101" s="45">
        <f t="shared" si="26"/>
        <v>0</v>
      </c>
    </row>
    <row r="102" spans="2:42" s="47" customFormat="1" x14ac:dyDescent="0.3">
      <c r="B102" s="48" t="s">
        <v>672</v>
      </c>
      <c r="C102" s="46" t="s">
        <v>673</v>
      </c>
      <c r="D102" s="49">
        <v>46204</v>
      </c>
      <c r="E102" s="49">
        <v>46234</v>
      </c>
      <c r="F102" s="44">
        <f t="shared" si="30"/>
        <v>30</v>
      </c>
      <c r="G102" s="44" t="s">
        <v>670</v>
      </c>
      <c r="H102" s="44" t="s">
        <v>491</v>
      </c>
      <c r="I102" s="66">
        <v>0</v>
      </c>
      <c r="J102" s="45">
        <f t="shared" si="29"/>
        <v>0</v>
      </c>
      <c r="K102" s="130">
        <v>0</v>
      </c>
      <c r="L102" s="66">
        <v>0</v>
      </c>
      <c r="M102" s="66">
        <v>0</v>
      </c>
      <c r="N102" s="66">
        <v>0</v>
      </c>
      <c r="O102" s="66">
        <v>0</v>
      </c>
      <c r="P102" s="45">
        <v>0</v>
      </c>
      <c r="Q102" s="85">
        <v>0</v>
      </c>
      <c r="R102" s="66">
        <v>0</v>
      </c>
      <c r="S102" s="66">
        <v>0</v>
      </c>
      <c r="T102" s="66">
        <v>0</v>
      </c>
      <c r="U102" s="66">
        <v>0</v>
      </c>
      <c r="V102" s="66">
        <v>0</v>
      </c>
      <c r="W102" s="66">
        <v>0</v>
      </c>
      <c r="X102" s="66">
        <v>0</v>
      </c>
      <c r="Y102" s="66">
        <v>0</v>
      </c>
      <c r="Z102" s="66">
        <v>0</v>
      </c>
      <c r="AA102" s="66">
        <v>0</v>
      </c>
      <c r="AB102" s="45">
        <v>0</v>
      </c>
      <c r="AC102" s="85">
        <v>0</v>
      </c>
      <c r="AD102" s="66">
        <v>0</v>
      </c>
      <c r="AE102" s="66">
        <v>0</v>
      </c>
      <c r="AF102" s="66">
        <v>0</v>
      </c>
      <c r="AG102" s="66">
        <v>0</v>
      </c>
      <c r="AH102" s="66">
        <v>0</v>
      </c>
      <c r="AI102" s="66">
        <v>0</v>
      </c>
      <c r="AJ102" s="66">
        <v>0</v>
      </c>
      <c r="AK102" s="66">
        <v>0</v>
      </c>
      <c r="AL102" s="66">
        <v>0</v>
      </c>
      <c r="AM102" s="66">
        <v>0</v>
      </c>
      <c r="AN102" s="45">
        <v>0</v>
      </c>
      <c r="AO102" s="834" t="str">
        <f t="shared" si="25"/>
        <v>Si</v>
      </c>
      <c r="AP102" s="45">
        <f t="shared" si="26"/>
        <v>0</v>
      </c>
    </row>
    <row r="103" spans="2:42" ht="28.8" x14ac:dyDescent="0.3">
      <c r="B103" s="29" t="s">
        <v>45</v>
      </c>
      <c r="C103" s="19" t="s">
        <v>46</v>
      </c>
      <c r="D103" s="55">
        <f>+D104</f>
        <v>46027</v>
      </c>
      <c r="E103" s="55">
        <f>+E115</f>
        <v>46645</v>
      </c>
      <c r="F103" s="39">
        <f t="shared" si="30"/>
        <v>618</v>
      </c>
      <c r="G103" s="39" t="str">
        <f>+G104</f>
        <v>INICIO</v>
      </c>
      <c r="H103" s="39" t="str">
        <f>+H115</f>
        <v>FIN</v>
      </c>
      <c r="I103" s="64">
        <f>+SUM(I104,I108,I112,I115)+(25000*65.5)</f>
        <v>5021666.8849999998</v>
      </c>
      <c r="J103" s="32">
        <f t="shared" si="29"/>
        <v>76666.67</v>
      </c>
      <c r="K103" s="564">
        <f t="shared" ref="K103:AN103" si="33">+SUM(K104,K108,K112,K115)</f>
        <v>0</v>
      </c>
      <c r="L103" s="64">
        <f t="shared" si="33"/>
        <v>0</v>
      </c>
      <c r="M103" s="64">
        <f t="shared" si="33"/>
        <v>0</v>
      </c>
      <c r="N103" s="64">
        <f t="shared" si="33"/>
        <v>0</v>
      </c>
      <c r="O103" s="64">
        <f t="shared" si="33"/>
        <v>0</v>
      </c>
      <c r="P103" s="32">
        <f t="shared" si="33"/>
        <v>0</v>
      </c>
      <c r="Q103" s="83">
        <f t="shared" si="33"/>
        <v>0</v>
      </c>
      <c r="R103" s="64">
        <f t="shared" si="33"/>
        <v>0</v>
      </c>
      <c r="S103" s="64">
        <f>+SUM(S104,S108,S112,S115)</f>
        <v>10333.334000000001</v>
      </c>
      <c r="T103" s="64">
        <f t="shared" si="33"/>
        <v>0</v>
      </c>
      <c r="U103" s="64">
        <f t="shared" si="33"/>
        <v>0</v>
      </c>
      <c r="V103" s="64">
        <f t="shared" si="33"/>
        <v>5000</v>
      </c>
      <c r="W103" s="64">
        <f>+SUM(W104,W108,W112,W115)</f>
        <v>0</v>
      </c>
      <c r="X103" s="64">
        <f t="shared" si="33"/>
        <v>16666.668000000001</v>
      </c>
      <c r="Y103" s="64">
        <f t="shared" si="33"/>
        <v>3000</v>
      </c>
      <c r="Z103" s="64">
        <f t="shared" si="33"/>
        <v>0</v>
      </c>
      <c r="AA103" s="64">
        <f t="shared" si="33"/>
        <v>0</v>
      </c>
      <c r="AB103" s="32">
        <f t="shared" si="33"/>
        <v>0</v>
      </c>
      <c r="AC103" s="83">
        <f t="shared" si="33"/>
        <v>0</v>
      </c>
      <c r="AD103" s="64">
        <f>+SUM(AD104,AD108,AD112,AD115)+5000</f>
        <v>5000</v>
      </c>
      <c r="AE103" s="64">
        <f t="shared" si="33"/>
        <v>16666.668000000001</v>
      </c>
      <c r="AF103" s="64">
        <f>+SUM(AF104,AF108,AF112,AF115)+12500</f>
        <v>12500</v>
      </c>
      <c r="AG103" s="64">
        <f t="shared" si="33"/>
        <v>0</v>
      </c>
      <c r="AH103" s="64">
        <f>+SUM(AH104,AH108,AH112,AH115)+7500</f>
        <v>7500</v>
      </c>
      <c r="AI103" s="64">
        <f t="shared" si="33"/>
        <v>0</v>
      </c>
      <c r="AJ103" s="64">
        <f t="shared" si="33"/>
        <v>0</v>
      </c>
      <c r="AK103" s="64">
        <f t="shared" si="33"/>
        <v>0</v>
      </c>
      <c r="AL103" s="64">
        <f t="shared" si="33"/>
        <v>0</v>
      </c>
      <c r="AM103" s="64">
        <f t="shared" si="33"/>
        <v>0</v>
      </c>
      <c r="AN103" s="32">
        <f t="shared" si="33"/>
        <v>0</v>
      </c>
      <c r="AO103" s="832" t="str">
        <f t="shared" si="25"/>
        <v>Si</v>
      </c>
      <c r="AP103" s="32">
        <f t="shared" si="26"/>
        <v>76666.67</v>
      </c>
    </row>
    <row r="104" spans="2:42" ht="28.8" x14ac:dyDescent="0.3">
      <c r="B104" s="30" t="s">
        <v>674</v>
      </c>
      <c r="C104" s="2" t="s">
        <v>675</v>
      </c>
      <c r="D104" s="42">
        <f>+D105</f>
        <v>46027</v>
      </c>
      <c r="E104" s="42" t="str">
        <f>+E107</f>
        <v>30/05/2026</v>
      </c>
      <c r="F104" s="40">
        <f t="shared" si="30"/>
        <v>145</v>
      </c>
      <c r="G104" s="40" t="str">
        <f>+G105</f>
        <v>INICIO</v>
      </c>
      <c r="H104" s="40" t="s">
        <v>676</v>
      </c>
      <c r="I104" s="68">
        <f>+SUM(I105:I107)</f>
        <v>0</v>
      </c>
      <c r="J104" s="569">
        <f t="shared" si="29"/>
        <v>0</v>
      </c>
      <c r="K104" s="624">
        <f t="shared" ref="K104:AN104" si="34">+SUM(K105:K107)</f>
        <v>0</v>
      </c>
      <c r="L104" s="68">
        <f t="shared" si="34"/>
        <v>0</v>
      </c>
      <c r="M104" s="68">
        <f t="shared" si="34"/>
        <v>0</v>
      </c>
      <c r="N104" s="68">
        <f t="shared" si="34"/>
        <v>0</v>
      </c>
      <c r="O104" s="68">
        <f t="shared" si="34"/>
        <v>0</v>
      </c>
      <c r="P104" s="569">
        <f t="shared" si="34"/>
        <v>0</v>
      </c>
      <c r="Q104" s="84">
        <f t="shared" si="34"/>
        <v>0</v>
      </c>
      <c r="R104" s="65">
        <f t="shared" si="34"/>
        <v>0</v>
      </c>
      <c r="S104" s="65">
        <f t="shared" si="34"/>
        <v>0</v>
      </c>
      <c r="T104" s="65">
        <f t="shared" si="34"/>
        <v>0</v>
      </c>
      <c r="U104" s="65">
        <f t="shared" si="34"/>
        <v>0</v>
      </c>
      <c r="V104" s="65">
        <f t="shared" si="34"/>
        <v>0</v>
      </c>
      <c r="W104" s="65">
        <f t="shared" si="34"/>
        <v>0</v>
      </c>
      <c r="X104" s="65">
        <f t="shared" si="34"/>
        <v>0</v>
      </c>
      <c r="Y104" s="65">
        <f t="shared" si="34"/>
        <v>0</v>
      </c>
      <c r="Z104" s="65">
        <f t="shared" si="34"/>
        <v>0</v>
      </c>
      <c r="AA104" s="65">
        <f t="shared" si="34"/>
        <v>0</v>
      </c>
      <c r="AB104" s="33">
        <f t="shared" si="34"/>
        <v>0</v>
      </c>
      <c r="AC104" s="84">
        <f t="shared" si="34"/>
        <v>0</v>
      </c>
      <c r="AD104" s="65">
        <f t="shared" si="34"/>
        <v>0</v>
      </c>
      <c r="AE104" s="65">
        <f t="shared" si="34"/>
        <v>0</v>
      </c>
      <c r="AF104" s="65">
        <f t="shared" si="34"/>
        <v>0</v>
      </c>
      <c r="AG104" s="65">
        <f t="shared" si="34"/>
        <v>0</v>
      </c>
      <c r="AH104" s="65">
        <f t="shared" si="34"/>
        <v>0</v>
      </c>
      <c r="AI104" s="65">
        <f t="shared" si="34"/>
        <v>0</v>
      </c>
      <c r="AJ104" s="65">
        <f t="shared" si="34"/>
        <v>0</v>
      </c>
      <c r="AK104" s="65">
        <f t="shared" si="34"/>
        <v>0</v>
      </c>
      <c r="AL104" s="65">
        <f t="shared" si="34"/>
        <v>0</v>
      </c>
      <c r="AM104" s="65">
        <f t="shared" si="34"/>
        <v>0</v>
      </c>
      <c r="AN104" s="33">
        <f t="shared" si="34"/>
        <v>0</v>
      </c>
      <c r="AO104" s="833" t="str">
        <f t="shared" si="25"/>
        <v>Si</v>
      </c>
      <c r="AP104" s="33">
        <f t="shared" si="26"/>
        <v>0</v>
      </c>
    </row>
    <row r="105" spans="2:42" s="47" customFormat="1" x14ac:dyDescent="0.3">
      <c r="B105" s="43" t="s">
        <v>677</v>
      </c>
      <c r="C105" s="394" t="s">
        <v>678</v>
      </c>
      <c r="D105" s="49">
        <v>46027</v>
      </c>
      <c r="E105" s="49">
        <v>46031</v>
      </c>
      <c r="F105" s="44">
        <f t="shared" si="30"/>
        <v>4</v>
      </c>
      <c r="G105" s="44" t="s">
        <v>490</v>
      </c>
      <c r="H105" s="44" t="s">
        <v>679</v>
      </c>
      <c r="I105" s="66">
        <v>0</v>
      </c>
      <c r="J105" s="45">
        <v>0</v>
      </c>
      <c r="K105" s="130">
        <v>0</v>
      </c>
      <c r="L105" s="66">
        <v>0</v>
      </c>
      <c r="M105" s="66">
        <v>0</v>
      </c>
      <c r="N105" s="66">
        <v>0</v>
      </c>
      <c r="O105" s="66">
        <v>0</v>
      </c>
      <c r="P105" s="45">
        <v>0</v>
      </c>
      <c r="Q105" s="85">
        <v>0</v>
      </c>
      <c r="R105" s="66">
        <v>0</v>
      </c>
      <c r="S105" s="66">
        <v>0</v>
      </c>
      <c r="T105" s="66">
        <v>0</v>
      </c>
      <c r="U105" s="66">
        <v>0</v>
      </c>
      <c r="V105" s="66">
        <v>0</v>
      </c>
      <c r="W105" s="66">
        <v>0</v>
      </c>
      <c r="X105" s="66">
        <v>0</v>
      </c>
      <c r="Y105" s="66">
        <v>0</v>
      </c>
      <c r="Z105" s="66">
        <v>0</v>
      </c>
      <c r="AA105" s="66">
        <v>0</v>
      </c>
      <c r="AB105" s="45">
        <v>0</v>
      </c>
      <c r="AC105" s="85">
        <v>0</v>
      </c>
      <c r="AD105" s="66">
        <v>0</v>
      </c>
      <c r="AE105" s="66">
        <v>0</v>
      </c>
      <c r="AF105" s="66">
        <v>0</v>
      </c>
      <c r="AG105" s="66">
        <v>0</v>
      </c>
      <c r="AH105" s="66">
        <v>0</v>
      </c>
      <c r="AI105" s="66">
        <v>0</v>
      </c>
      <c r="AJ105" s="66">
        <v>0</v>
      </c>
      <c r="AK105" s="66">
        <v>0</v>
      </c>
      <c r="AL105" s="66">
        <v>0</v>
      </c>
      <c r="AM105" s="66">
        <v>0</v>
      </c>
      <c r="AN105" s="45">
        <v>0</v>
      </c>
      <c r="AO105" s="834" t="str">
        <f t="shared" si="25"/>
        <v>Si</v>
      </c>
      <c r="AP105" s="45">
        <f t="shared" si="26"/>
        <v>0</v>
      </c>
    </row>
    <row r="106" spans="2:42" s="47" customFormat="1" x14ac:dyDescent="0.3">
      <c r="B106" s="43" t="s">
        <v>679</v>
      </c>
      <c r="C106" s="524" t="s">
        <v>680</v>
      </c>
      <c r="D106" s="49">
        <v>46032</v>
      </c>
      <c r="E106" s="49">
        <v>46142</v>
      </c>
      <c r="F106" s="44">
        <f>+ABS(_xlfn.DAYS(D106,E106))</f>
        <v>110</v>
      </c>
      <c r="G106" s="44" t="s">
        <v>677</v>
      </c>
      <c r="H106" s="44" t="s">
        <v>681</v>
      </c>
      <c r="I106" s="66">
        <v>0</v>
      </c>
      <c r="J106" s="45">
        <f>+I107/$J$13</f>
        <v>0</v>
      </c>
      <c r="K106" s="130">
        <v>0</v>
      </c>
      <c r="L106" s="66">
        <v>0</v>
      </c>
      <c r="M106" s="66">
        <v>0</v>
      </c>
      <c r="N106" s="66">
        <v>0</v>
      </c>
      <c r="O106" s="66">
        <v>0</v>
      </c>
      <c r="P106" s="45">
        <v>0</v>
      </c>
      <c r="Q106" s="85">
        <v>0</v>
      </c>
      <c r="R106" s="66">
        <v>0</v>
      </c>
      <c r="S106" s="66">
        <v>0</v>
      </c>
      <c r="T106" s="66">
        <v>0</v>
      </c>
      <c r="U106" s="66">
        <v>0</v>
      </c>
      <c r="V106" s="66">
        <v>0</v>
      </c>
      <c r="W106" s="66">
        <v>0</v>
      </c>
      <c r="X106" s="66">
        <v>0</v>
      </c>
      <c r="Y106" s="66">
        <v>0</v>
      </c>
      <c r="Z106" s="66">
        <v>0</v>
      </c>
      <c r="AA106" s="66">
        <v>0</v>
      </c>
      <c r="AB106" s="45">
        <v>0</v>
      </c>
      <c r="AC106" s="85">
        <v>0</v>
      </c>
      <c r="AD106" s="66">
        <v>0</v>
      </c>
      <c r="AE106" s="66">
        <v>0</v>
      </c>
      <c r="AF106" s="66">
        <v>0</v>
      </c>
      <c r="AG106" s="66">
        <v>0</v>
      </c>
      <c r="AH106" s="66">
        <v>0</v>
      </c>
      <c r="AI106" s="66">
        <v>0</v>
      </c>
      <c r="AJ106" s="66">
        <v>0</v>
      </c>
      <c r="AK106" s="66">
        <v>0</v>
      </c>
      <c r="AL106" s="66">
        <v>0</v>
      </c>
      <c r="AM106" s="66">
        <v>0</v>
      </c>
      <c r="AN106" s="45">
        <v>0</v>
      </c>
      <c r="AO106" s="834" t="str">
        <f t="shared" si="25"/>
        <v>Si</v>
      </c>
      <c r="AP106" s="45">
        <f t="shared" si="26"/>
        <v>0</v>
      </c>
    </row>
    <row r="107" spans="2:42" s="47" customFormat="1" x14ac:dyDescent="0.3">
      <c r="B107" s="43" t="s">
        <v>681</v>
      </c>
      <c r="C107" s="524" t="s">
        <v>682</v>
      </c>
      <c r="D107" s="49">
        <v>46142</v>
      </c>
      <c r="E107" s="49" t="s">
        <v>683</v>
      </c>
      <c r="F107" s="44">
        <f t="shared" si="30"/>
        <v>30</v>
      </c>
      <c r="G107" s="44" t="s">
        <v>679</v>
      </c>
      <c r="H107" s="44" t="s">
        <v>684</v>
      </c>
      <c r="I107" s="66">
        <v>0</v>
      </c>
      <c r="J107" s="45">
        <f>I107/$J$13</f>
        <v>0</v>
      </c>
      <c r="K107" s="130">
        <v>0</v>
      </c>
      <c r="L107" s="66">
        <v>0</v>
      </c>
      <c r="M107" s="66">
        <v>0</v>
      </c>
      <c r="N107" s="66">
        <v>0</v>
      </c>
      <c r="O107" s="66">
        <v>0</v>
      </c>
      <c r="P107" s="45">
        <v>0</v>
      </c>
      <c r="Q107" s="85">
        <v>0</v>
      </c>
      <c r="R107" s="66">
        <v>0</v>
      </c>
      <c r="S107" s="66">
        <v>0</v>
      </c>
      <c r="T107" s="66">
        <v>0</v>
      </c>
      <c r="U107" s="66">
        <v>0</v>
      </c>
      <c r="V107" s="66">
        <v>0</v>
      </c>
      <c r="W107" s="66">
        <v>0</v>
      </c>
      <c r="X107" s="66">
        <v>0</v>
      </c>
      <c r="Y107" s="66">
        <v>0</v>
      </c>
      <c r="Z107" s="66">
        <v>0</v>
      </c>
      <c r="AA107" s="66">
        <v>0</v>
      </c>
      <c r="AB107" s="45">
        <v>0</v>
      </c>
      <c r="AC107" s="85">
        <v>0</v>
      </c>
      <c r="AD107" s="66">
        <v>0</v>
      </c>
      <c r="AE107" s="66">
        <v>0</v>
      </c>
      <c r="AF107" s="66">
        <v>0</v>
      </c>
      <c r="AG107" s="66">
        <v>0</v>
      </c>
      <c r="AH107" s="66">
        <v>0</v>
      </c>
      <c r="AI107" s="66">
        <v>0</v>
      </c>
      <c r="AJ107" s="66">
        <v>0</v>
      </c>
      <c r="AK107" s="66">
        <v>0</v>
      </c>
      <c r="AL107" s="66">
        <v>0</v>
      </c>
      <c r="AM107" s="66">
        <v>0</v>
      </c>
      <c r="AN107" s="45">
        <v>0</v>
      </c>
      <c r="AO107" s="834" t="str">
        <f t="shared" si="25"/>
        <v>Si</v>
      </c>
      <c r="AP107" s="45">
        <f t="shared" si="26"/>
        <v>0</v>
      </c>
    </row>
    <row r="108" spans="2:42" ht="28.8" x14ac:dyDescent="0.3">
      <c r="B108" s="30" t="s">
        <v>685</v>
      </c>
      <c r="C108" s="2" t="s">
        <v>686</v>
      </c>
      <c r="D108" s="42">
        <f>+D109</f>
        <v>46178</v>
      </c>
      <c r="E108" s="42">
        <f>+E111</f>
        <v>46398</v>
      </c>
      <c r="F108" s="40">
        <f t="shared" si="30"/>
        <v>220</v>
      </c>
      <c r="G108" s="40" t="s">
        <v>674</v>
      </c>
      <c r="H108" s="40" t="s">
        <v>687</v>
      </c>
      <c r="I108" s="68">
        <f>+SUM(I109:I111)</f>
        <v>2729166.8849999998</v>
      </c>
      <c r="J108" s="569">
        <f t="shared" si="29"/>
        <v>41666.67</v>
      </c>
      <c r="K108" s="624">
        <f t="shared" ref="K108:AN108" si="35">+SUM(K109:K111)</f>
        <v>0</v>
      </c>
      <c r="L108" s="68">
        <f t="shared" si="35"/>
        <v>0</v>
      </c>
      <c r="M108" s="68">
        <f t="shared" si="35"/>
        <v>0</v>
      </c>
      <c r="N108" s="68">
        <f t="shared" si="35"/>
        <v>0</v>
      </c>
      <c r="O108" s="68">
        <f t="shared" si="35"/>
        <v>0</v>
      </c>
      <c r="P108" s="569">
        <f t="shared" si="35"/>
        <v>0</v>
      </c>
      <c r="Q108" s="84">
        <f t="shared" si="35"/>
        <v>0</v>
      </c>
      <c r="R108" s="65">
        <f t="shared" si="35"/>
        <v>0</v>
      </c>
      <c r="S108" s="65">
        <f t="shared" si="35"/>
        <v>8333.3340000000007</v>
      </c>
      <c r="T108" s="65">
        <f t="shared" si="35"/>
        <v>0</v>
      </c>
      <c r="U108" s="65">
        <f t="shared" si="35"/>
        <v>0</v>
      </c>
      <c r="V108" s="65">
        <f t="shared" si="35"/>
        <v>0</v>
      </c>
      <c r="W108" s="65">
        <f t="shared" si="35"/>
        <v>0</v>
      </c>
      <c r="X108" s="65">
        <f t="shared" si="35"/>
        <v>16666.668000000001</v>
      </c>
      <c r="Y108" s="65">
        <f t="shared" si="35"/>
        <v>0</v>
      </c>
      <c r="Z108" s="65">
        <f t="shared" si="35"/>
        <v>0</v>
      </c>
      <c r="AA108" s="65">
        <f t="shared" si="35"/>
        <v>0</v>
      </c>
      <c r="AB108" s="33">
        <f t="shared" si="35"/>
        <v>0</v>
      </c>
      <c r="AC108" s="84">
        <f t="shared" si="35"/>
        <v>0</v>
      </c>
      <c r="AD108" s="65">
        <f t="shared" si="35"/>
        <v>0</v>
      </c>
      <c r="AE108" s="65">
        <f t="shared" si="35"/>
        <v>16666.668000000001</v>
      </c>
      <c r="AF108" s="65">
        <f t="shared" si="35"/>
        <v>0</v>
      </c>
      <c r="AG108" s="65">
        <f t="shared" si="35"/>
        <v>0</v>
      </c>
      <c r="AH108" s="65">
        <f t="shared" si="35"/>
        <v>0</v>
      </c>
      <c r="AI108" s="65">
        <f t="shared" si="35"/>
        <v>0</v>
      </c>
      <c r="AJ108" s="65">
        <f t="shared" si="35"/>
        <v>0</v>
      </c>
      <c r="AK108" s="65">
        <f t="shared" si="35"/>
        <v>0</v>
      </c>
      <c r="AL108" s="65">
        <f t="shared" si="35"/>
        <v>0</v>
      </c>
      <c r="AM108" s="65">
        <f t="shared" si="35"/>
        <v>0</v>
      </c>
      <c r="AN108" s="33">
        <f t="shared" si="35"/>
        <v>0</v>
      </c>
      <c r="AO108" s="833" t="str">
        <f t="shared" si="25"/>
        <v>Si</v>
      </c>
      <c r="AP108" s="33">
        <f t="shared" si="26"/>
        <v>41666.67</v>
      </c>
    </row>
    <row r="109" spans="2:42" s="47" customFormat="1" x14ac:dyDescent="0.3">
      <c r="B109" s="43" t="s">
        <v>684</v>
      </c>
      <c r="C109" s="524" t="s">
        <v>688</v>
      </c>
      <c r="D109" s="49">
        <v>46178</v>
      </c>
      <c r="E109" s="49">
        <v>46208</v>
      </c>
      <c r="F109" s="44">
        <f t="shared" si="30"/>
        <v>30</v>
      </c>
      <c r="G109" s="44" t="s">
        <v>679</v>
      </c>
      <c r="H109" s="44" t="s">
        <v>689</v>
      </c>
      <c r="I109" s="66">
        <v>2729166.8849999998</v>
      </c>
      <c r="J109" s="45">
        <f t="shared" si="29"/>
        <v>41666.67</v>
      </c>
      <c r="K109" s="130">
        <v>0</v>
      </c>
      <c r="L109" s="66">
        <v>0</v>
      </c>
      <c r="M109" s="66">
        <v>0</v>
      </c>
      <c r="N109" s="66">
        <v>0</v>
      </c>
      <c r="O109" s="66">
        <v>0</v>
      </c>
      <c r="P109" s="45">
        <v>0</v>
      </c>
      <c r="Q109" s="85">
        <v>0</v>
      </c>
      <c r="R109" s="66">
        <v>0</v>
      </c>
      <c r="S109" s="66">
        <v>8333.3340000000007</v>
      </c>
      <c r="T109" s="66">
        <v>0</v>
      </c>
      <c r="U109" s="66">
        <v>0</v>
      </c>
      <c r="V109" s="66">
        <v>0</v>
      </c>
      <c r="W109" s="66">
        <v>0</v>
      </c>
      <c r="X109" s="66">
        <v>16666.668000000001</v>
      </c>
      <c r="Y109" s="66">
        <v>0</v>
      </c>
      <c r="Z109" s="66">
        <v>0</v>
      </c>
      <c r="AA109" s="66">
        <v>0</v>
      </c>
      <c r="AB109" s="45">
        <v>0</v>
      </c>
      <c r="AC109" s="85">
        <v>0</v>
      </c>
      <c r="AD109" s="66">
        <v>0</v>
      </c>
      <c r="AE109" s="66">
        <v>16666.668000000001</v>
      </c>
      <c r="AF109" s="66">
        <v>0</v>
      </c>
      <c r="AG109" s="66">
        <v>0</v>
      </c>
      <c r="AH109" s="66">
        <v>0</v>
      </c>
      <c r="AI109" s="66">
        <v>0</v>
      </c>
      <c r="AJ109" s="66">
        <v>0</v>
      </c>
      <c r="AK109" s="66">
        <v>0</v>
      </c>
      <c r="AL109" s="66">
        <v>0</v>
      </c>
      <c r="AM109" s="66">
        <v>0</v>
      </c>
      <c r="AN109" s="45">
        <v>0</v>
      </c>
      <c r="AO109" s="834" t="str">
        <f t="shared" si="25"/>
        <v>Si</v>
      </c>
      <c r="AP109" s="45">
        <f t="shared" si="26"/>
        <v>41666.67</v>
      </c>
    </row>
    <row r="110" spans="2:42" s="47" customFormat="1" x14ac:dyDescent="0.3">
      <c r="B110" s="43" t="s">
        <v>689</v>
      </c>
      <c r="C110" s="524" t="s">
        <v>690</v>
      </c>
      <c r="D110" s="49">
        <v>46218</v>
      </c>
      <c r="E110" s="49">
        <v>46310</v>
      </c>
      <c r="F110" s="44">
        <f t="shared" si="30"/>
        <v>92</v>
      </c>
      <c r="G110" s="44" t="s">
        <v>684</v>
      </c>
      <c r="H110" s="44" t="s">
        <v>691</v>
      </c>
      <c r="I110" s="66">
        <v>0</v>
      </c>
      <c r="J110" s="45">
        <f t="shared" si="29"/>
        <v>0</v>
      </c>
      <c r="K110" s="130">
        <v>0</v>
      </c>
      <c r="L110" s="66">
        <v>0</v>
      </c>
      <c r="M110" s="66">
        <v>0</v>
      </c>
      <c r="N110" s="66">
        <v>0</v>
      </c>
      <c r="O110" s="66">
        <v>0</v>
      </c>
      <c r="P110" s="45">
        <v>0</v>
      </c>
      <c r="Q110" s="85">
        <v>0</v>
      </c>
      <c r="R110" s="66">
        <v>0</v>
      </c>
      <c r="S110" s="66">
        <v>0</v>
      </c>
      <c r="T110" s="66">
        <v>0</v>
      </c>
      <c r="U110" s="66">
        <v>0</v>
      </c>
      <c r="V110" s="66">
        <v>0</v>
      </c>
      <c r="W110" s="66">
        <v>0</v>
      </c>
      <c r="X110" s="66">
        <v>0</v>
      </c>
      <c r="Y110" s="66">
        <v>0</v>
      </c>
      <c r="Z110" s="66">
        <v>0</v>
      </c>
      <c r="AA110" s="66">
        <v>0</v>
      </c>
      <c r="AB110" s="45">
        <v>0</v>
      </c>
      <c r="AC110" s="85">
        <v>0</v>
      </c>
      <c r="AD110" s="66">
        <v>0</v>
      </c>
      <c r="AE110" s="66">
        <v>0</v>
      </c>
      <c r="AF110" s="66">
        <v>0</v>
      </c>
      <c r="AG110" s="66">
        <v>0</v>
      </c>
      <c r="AH110" s="66">
        <v>0</v>
      </c>
      <c r="AI110" s="66">
        <v>0</v>
      </c>
      <c r="AJ110" s="66">
        <v>0</v>
      </c>
      <c r="AK110" s="66">
        <v>0</v>
      </c>
      <c r="AL110" s="66">
        <v>0</v>
      </c>
      <c r="AM110" s="66">
        <v>0</v>
      </c>
      <c r="AN110" s="45">
        <v>0</v>
      </c>
      <c r="AO110" s="834" t="str">
        <f t="shared" si="25"/>
        <v>Si</v>
      </c>
      <c r="AP110" s="45">
        <f t="shared" si="26"/>
        <v>0</v>
      </c>
    </row>
    <row r="111" spans="2:42" s="47" customFormat="1" x14ac:dyDescent="0.3">
      <c r="B111" s="43" t="s">
        <v>691</v>
      </c>
      <c r="C111" s="524" t="s">
        <v>692</v>
      </c>
      <c r="D111" s="49">
        <v>46310</v>
      </c>
      <c r="E111" s="49">
        <v>46398</v>
      </c>
      <c r="F111" s="44">
        <f t="shared" si="30"/>
        <v>88</v>
      </c>
      <c r="G111" s="44" t="s">
        <v>684</v>
      </c>
      <c r="H111" s="44" t="s">
        <v>693</v>
      </c>
      <c r="I111" s="66">
        <v>0</v>
      </c>
      <c r="J111" s="45">
        <f t="shared" si="29"/>
        <v>0</v>
      </c>
      <c r="K111" s="130">
        <v>0</v>
      </c>
      <c r="L111" s="66">
        <v>0</v>
      </c>
      <c r="M111" s="66">
        <v>0</v>
      </c>
      <c r="N111" s="66">
        <v>0</v>
      </c>
      <c r="O111" s="66">
        <v>0</v>
      </c>
      <c r="P111" s="45">
        <v>0</v>
      </c>
      <c r="Q111" s="85">
        <v>0</v>
      </c>
      <c r="R111" s="66">
        <v>0</v>
      </c>
      <c r="S111" s="66">
        <v>0</v>
      </c>
      <c r="T111" s="66">
        <v>0</v>
      </c>
      <c r="U111" s="66">
        <v>0</v>
      </c>
      <c r="V111" s="66">
        <v>0</v>
      </c>
      <c r="W111" s="66">
        <v>0</v>
      </c>
      <c r="X111" s="66">
        <v>0</v>
      </c>
      <c r="Y111" s="66">
        <v>0</v>
      </c>
      <c r="Z111" s="66">
        <v>0</v>
      </c>
      <c r="AA111" s="66">
        <v>0</v>
      </c>
      <c r="AB111" s="45">
        <v>0</v>
      </c>
      <c r="AC111" s="85">
        <v>0</v>
      </c>
      <c r="AD111" s="66">
        <v>0</v>
      </c>
      <c r="AE111" s="66">
        <v>0</v>
      </c>
      <c r="AF111" s="66">
        <v>0</v>
      </c>
      <c r="AG111" s="66">
        <v>0</v>
      </c>
      <c r="AH111" s="66">
        <v>0</v>
      </c>
      <c r="AI111" s="66">
        <v>0</v>
      </c>
      <c r="AJ111" s="66">
        <v>0</v>
      </c>
      <c r="AK111" s="66">
        <v>0</v>
      </c>
      <c r="AL111" s="66">
        <v>0</v>
      </c>
      <c r="AM111" s="66">
        <v>0</v>
      </c>
      <c r="AN111" s="45">
        <v>0</v>
      </c>
      <c r="AO111" s="834" t="str">
        <f t="shared" si="25"/>
        <v>Si</v>
      </c>
      <c r="AP111" s="45">
        <f t="shared" si="26"/>
        <v>0</v>
      </c>
    </row>
    <row r="112" spans="2:42" ht="43.2" x14ac:dyDescent="0.3">
      <c r="B112" s="30" t="s">
        <v>687</v>
      </c>
      <c r="C112" s="2" t="s">
        <v>694</v>
      </c>
      <c r="D112" s="42">
        <f>+D113</f>
        <v>46398</v>
      </c>
      <c r="E112" s="42" t="str">
        <f>+E114</f>
        <v>31/03/2027</v>
      </c>
      <c r="F112" s="40">
        <f t="shared" si="30"/>
        <v>79</v>
      </c>
      <c r="G112" s="40" t="s">
        <v>685</v>
      </c>
      <c r="H112" s="40" t="str">
        <f>+B115</f>
        <v>1.1.9.4</v>
      </c>
      <c r="I112" s="65">
        <f>+SUM(I113:I114)</f>
        <v>655000</v>
      </c>
      <c r="J112" s="33">
        <f t="shared" si="29"/>
        <v>10000</v>
      </c>
      <c r="K112" s="622">
        <f t="shared" ref="K112:AN112" si="36">+SUM(K113:K114)</f>
        <v>0</v>
      </c>
      <c r="L112" s="65">
        <f t="shared" si="36"/>
        <v>0</v>
      </c>
      <c r="M112" s="65">
        <f t="shared" si="36"/>
        <v>0</v>
      </c>
      <c r="N112" s="65">
        <f t="shared" si="36"/>
        <v>0</v>
      </c>
      <c r="O112" s="65">
        <f t="shared" si="36"/>
        <v>0</v>
      </c>
      <c r="P112" s="33">
        <f t="shared" si="36"/>
        <v>0</v>
      </c>
      <c r="Q112" s="84">
        <f t="shared" si="36"/>
        <v>0</v>
      </c>
      <c r="R112" s="65">
        <f t="shared" si="36"/>
        <v>0</v>
      </c>
      <c r="S112" s="65">
        <f t="shared" si="36"/>
        <v>2000</v>
      </c>
      <c r="T112" s="65">
        <f t="shared" si="36"/>
        <v>0</v>
      </c>
      <c r="U112" s="65">
        <f t="shared" si="36"/>
        <v>0</v>
      </c>
      <c r="V112" s="65">
        <f t="shared" si="36"/>
        <v>5000</v>
      </c>
      <c r="W112" s="65">
        <f t="shared" si="36"/>
        <v>0</v>
      </c>
      <c r="X112" s="65">
        <f t="shared" si="36"/>
        <v>0</v>
      </c>
      <c r="Y112" s="65">
        <f t="shared" si="36"/>
        <v>3000</v>
      </c>
      <c r="Z112" s="65">
        <f t="shared" si="36"/>
        <v>0</v>
      </c>
      <c r="AA112" s="65">
        <f t="shared" si="36"/>
        <v>0</v>
      </c>
      <c r="AB112" s="33">
        <f t="shared" si="36"/>
        <v>0</v>
      </c>
      <c r="AC112" s="84">
        <f t="shared" si="36"/>
        <v>0</v>
      </c>
      <c r="AD112" s="65">
        <f t="shared" si="36"/>
        <v>0</v>
      </c>
      <c r="AE112" s="65">
        <f t="shared" si="36"/>
        <v>0</v>
      </c>
      <c r="AF112" s="65">
        <f t="shared" si="36"/>
        <v>0</v>
      </c>
      <c r="AG112" s="65">
        <f t="shared" si="36"/>
        <v>0</v>
      </c>
      <c r="AH112" s="65">
        <f t="shared" si="36"/>
        <v>0</v>
      </c>
      <c r="AI112" s="65">
        <f t="shared" si="36"/>
        <v>0</v>
      </c>
      <c r="AJ112" s="65">
        <f t="shared" si="36"/>
        <v>0</v>
      </c>
      <c r="AK112" s="65">
        <f t="shared" si="36"/>
        <v>0</v>
      </c>
      <c r="AL112" s="65">
        <f t="shared" si="36"/>
        <v>0</v>
      </c>
      <c r="AM112" s="65">
        <f t="shared" si="36"/>
        <v>0</v>
      </c>
      <c r="AN112" s="33">
        <f t="shared" si="36"/>
        <v>0</v>
      </c>
      <c r="AO112" s="833" t="str">
        <f t="shared" si="25"/>
        <v>Si</v>
      </c>
      <c r="AP112" s="33">
        <f t="shared" si="26"/>
        <v>10000</v>
      </c>
    </row>
    <row r="113" spans="2:42" s="47" customFormat="1" x14ac:dyDescent="0.3">
      <c r="B113" s="43" t="s">
        <v>693</v>
      </c>
      <c r="C113" s="524" t="s">
        <v>695</v>
      </c>
      <c r="D113" s="49">
        <v>46398</v>
      </c>
      <c r="E113" s="49">
        <v>46418</v>
      </c>
      <c r="F113" s="44">
        <f t="shared" si="30"/>
        <v>20</v>
      </c>
      <c r="G113" s="44" t="s">
        <v>691</v>
      </c>
      <c r="H113" s="44" t="s">
        <v>696</v>
      </c>
      <c r="I113" s="66">
        <v>0</v>
      </c>
      <c r="J113" s="45">
        <f t="shared" si="29"/>
        <v>0</v>
      </c>
      <c r="K113" s="130">
        <v>0</v>
      </c>
      <c r="L113" s="66">
        <v>0</v>
      </c>
      <c r="M113" s="66">
        <v>0</v>
      </c>
      <c r="N113" s="66">
        <v>0</v>
      </c>
      <c r="O113" s="66">
        <v>0</v>
      </c>
      <c r="P113" s="45">
        <v>0</v>
      </c>
      <c r="Q113" s="85">
        <v>0</v>
      </c>
      <c r="R113" s="66">
        <v>0</v>
      </c>
      <c r="S113" s="66">
        <v>0</v>
      </c>
      <c r="T113" s="66">
        <v>0</v>
      </c>
      <c r="U113" s="66">
        <v>0</v>
      </c>
      <c r="V113" s="66">
        <v>0</v>
      </c>
      <c r="W113" s="66">
        <v>0</v>
      </c>
      <c r="X113" s="66">
        <v>0</v>
      </c>
      <c r="Y113" s="66">
        <v>0</v>
      </c>
      <c r="Z113" s="66">
        <v>0</v>
      </c>
      <c r="AA113" s="66">
        <v>0</v>
      </c>
      <c r="AB113" s="45">
        <v>0</v>
      </c>
      <c r="AC113" s="85">
        <v>0</v>
      </c>
      <c r="AD113" s="66">
        <v>0</v>
      </c>
      <c r="AE113" s="66">
        <v>0</v>
      </c>
      <c r="AF113" s="66">
        <v>0</v>
      </c>
      <c r="AG113" s="66">
        <v>0</v>
      </c>
      <c r="AH113" s="66">
        <v>0</v>
      </c>
      <c r="AI113" s="66">
        <v>0</v>
      </c>
      <c r="AJ113" s="66">
        <v>0</v>
      </c>
      <c r="AK113" s="66">
        <v>0</v>
      </c>
      <c r="AL113" s="66">
        <v>0</v>
      </c>
      <c r="AM113" s="66">
        <v>0</v>
      </c>
      <c r="AN113" s="45">
        <v>0</v>
      </c>
      <c r="AO113" s="834" t="str">
        <f t="shared" si="25"/>
        <v>Si</v>
      </c>
      <c r="AP113" s="45">
        <f t="shared" si="26"/>
        <v>0</v>
      </c>
    </row>
    <row r="114" spans="2:42" s="47" customFormat="1" x14ac:dyDescent="0.3">
      <c r="B114" s="43" t="s">
        <v>696</v>
      </c>
      <c r="C114" s="524" t="s">
        <v>697</v>
      </c>
      <c r="D114" s="49">
        <v>46419</v>
      </c>
      <c r="E114" s="49" t="s">
        <v>698</v>
      </c>
      <c r="F114" s="44">
        <f t="shared" si="30"/>
        <v>58</v>
      </c>
      <c r="G114" s="44" t="s">
        <v>693</v>
      </c>
      <c r="H114" s="44" t="str">
        <f>+B116</f>
        <v>1.1.9.4.1</v>
      </c>
      <c r="I114" s="66">
        <f>10000*65.5</f>
        <v>655000</v>
      </c>
      <c r="J114" s="45">
        <f t="shared" si="29"/>
        <v>10000</v>
      </c>
      <c r="K114" s="130">
        <v>0</v>
      </c>
      <c r="L114" s="66">
        <v>0</v>
      </c>
      <c r="M114" s="66">
        <v>0</v>
      </c>
      <c r="N114" s="66">
        <v>0</v>
      </c>
      <c r="O114" s="66">
        <v>0</v>
      </c>
      <c r="P114" s="45">
        <v>0</v>
      </c>
      <c r="Q114" s="85">
        <v>0</v>
      </c>
      <c r="R114" s="66">
        <v>0</v>
      </c>
      <c r="S114" s="66">
        <v>2000</v>
      </c>
      <c r="T114" s="66">
        <v>0</v>
      </c>
      <c r="U114" s="66">
        <v>0</v>
      </c>
      <c r="V114" s="66">
        <v>5000</v>
      </c>
      <c r="W114" s="66">
        <v>0</v>
      </c>
      <c r="X114" s="66">
        <v>0</v>
      </c>
      <c r="Y114" s="66">
        <v>3000</v>
      </c>
      <c r="Z114" s="66">
        <v>0</v>
      </c>
      <c r="AA114" s="66">
        <v>0</v>
      </c>
      <c r="AB114" s="45">
        <v>0</v>
      </c>
      <c r="AC114" s="85">
        <v>0</v>
      </c>
      <c r="AD114" s="66">
        <v>0</v>
      </c>
      <c r="AE114" s="66">
        <v>0</v>
      </c>
      <c r="AF114" s="66">
        <v>0</v>
      </c>
      <c r="AG114" s="66">
        <v>0</v>
      </c>
      <c r="AH114" s="66">
        <v>0</v>
      </c>
      <c r="AI114" s="66">
        <v>0</v>
      </c>
      <c r="AJ114" s="66">
        <v>0</v>
      </c>
      <c r="AK114" s="66">
        <v>0</v>
      </c>
      <c r="AL114" s="66">
        <v>0</v>
      </c>
      <c r="AM114" s="66">
        <v>0</v>
      </c>
      <c r="AN114" s="45">
        <v>0</v>
      </c>
      <c r="AO114" s="834" t="str">
        <f t="shared" si="25"/>
        <v>Si</v>
      </c>
      <c r="AP114" s="45">
        <f t="shared" si="26"/>
        <v>10000</v>
      </c>
    </row>
    <row r="115" spans="2:42" ht="28.8" x14ac:dyDescent="0.3">
      <c r="B115" s="30" t="s">
        <v>699</v>
      </c>
      <c r="C115" s="2" t="s">
        <v>700</v>
      </c>
      <c r="D115" s="42">
        <f>+D116</f>
        <v>46569</v>
      </c>
      <c r="E115" s="42">
        <f>+E118</f>
        <v>46645</v>
      </c>
      <c r="F115" s="40">
        <f t="shared" si="30"/>
        <v>76</v>
      </c>
      <c r="G115" s="40" t="str">
        <f>+B108</f>
        <v>1.1.9.2</v>
      </c>
      <c r="H115" s="40" t="str">
        <f>+H118</f>
        <v>FIN</v>
      </c>
      <c r="I115" s="65">
        <v>0</v>
      </c>
      <c r="J115" s="33">
        <f t="shared" si="29"/>
        <v>0</v>
      </c>
      <c r="K115" s="622">
        <f t="shared" ref="K115:AN115" si="37">+SUM(K116:K118)</f>
        <v>0</v>
      </c>
      <c r="L115" s="65">
        <f t="shared" si="37"/>
        <v>0</v>
      </c>
      <c r="M115" s="65">
        <f t="shared" si="37"/>
        <v>0</v>
      </c>
      <c r="N115" s="65">
        <f t="shared" si="37"/>
        <v>0</v>
      </c>
      <c r="O115" s="65">
        <f t="shared" si="37"/>
        <v>0</v>
      </c>
      <c r="P115" s="33">
        <f t="shared" si="37"/>
        <v>0</v>
      </c>
      <c r="Q115" s="84">
        <f t="shared" si="37"/>
        <v>0</v>
      </c>
      <c r="R115" s="65">
        <f t="shared" si="37"/>
        <v>0</v>
      </c>
      <c r="S115" s="65">
        <f t="shared" si="37"/>
        <v>0</v>
      </c>
      <c r="T115" s="65">
        <f t="shared" si="37"/>
        <v>0</v>
      </c>
      <c r="U115" s="65">
        <f t="shared" si="37"/>
        <v>0</v>
      </c>
      <c r="V115" s="65">
        <f t="shared" si="37"/>
        <v>0</v>
      </c>
      <c r="W115" s="65">
        <f t="shared" si="37"/>
        <v>0</v>
      </c>
      <c r="X115" s="65">
        <f t="shared" si="37"/>
        <v>0</v>
      </c>
      <c r="Y115" s="65">
        <f t="shared" si="37"/>
        <v>0</v>
      </c>
      <c r="Z115" s="65">
        <f t="shared" si="37"/>
        <v>0</v>
      </c>
      <c r="AA115" s="65">
        <f t="shared" si="37"/>
        <v>0</v>
      </c>
      <c r="AB115" s="33">
        <f t="shared" si="37"/>
        <v>0</v>
      </c>
      <c r="AC115" s="84">
        <f t="shared" si="37"/>
        <v>0</v>
      </c>
      <c r="AD115" s="65">
        <f t="shared" si="37"/>
        <v>0</v>
      </c>
      <c r="AE115" s="65">
        <f t="shared" si="37"/>
        <v>0</v>
      </c>
      <c r="AF115" s="65">
        <f t="shared" si="37"/>
        <v>0</v>
      </c>
      <c r="AG115" s="65">
        <f t="shared" si="37"/>
        <v>0</v>
      </c>
      <c r="AH115" s="65">
        <f t="shared" si="37"/>
        <v>0</v>
      </c>
      <c r="AI115" s="65">
        <f t="shared" si="37"/>
        <v>0</v>
      </c>
      <c r="AJ115" s="65">
        <f t="shared" si="37"/>
        <v>0</v>
      </c>
      <c r="AK115" s="65">
        <f t="shared" si="37"/>
        <v>0</v>
      </c>
      <c r="AL115" s="65">
        <f t="shared" si="37"/>
        <v>0</v>
      </c>
      <c r="AM115" s="65">
        <f t="shared" si="37"/>
        <v>0</v>
      </c>
      <c r="AN115" s="33">
        <f t="shared" si="37"/>
        <v>0</v>
      </c>
      <c r="AO115" s="833" t="str">
        <f t="shared" si="25"/>
        <v>Si</v>
      </c>
      <c r="AP115" s="33">
        <f t="shared" si="26"/>
        <v>0</v>
      </c>
    </row>
    <row r="116" spans="2:42" s="47" customFormat="1" x14ac:dyDescent="0.3">
      <c r="B116" s="43" t="s">
        <v>701</v>
      </c>
      <c r="C116" s="524" t="s">
        <v>702</v>
      </c>
      <c r="D116" s="36">
        <v>46569</v>
      </c>
      <c r="E116" s="36">
        <v>46583</v>
      </c>
      <c r="F116" s="44">
        <f t="shared" si="30"/>
        <v>14</v>
      </c>
      <c r="G116" s="44" t="s">
        <v>696</v>
      </c>
      <c r="H116" s="44" t="s">
        <v>703</v>
      </c>
      <c r="I116" s="66">
        <v>0</v>
      </c>
      <c r="J116" s="45">
        <f t="shared" si="29"/>
        <v>0</v>
      </c>
      <c r="K116" s="130">
        <v>0</v>
      </c>
      <c r="L116" s="66">
        <v>0</v>
      </c>
      <c r="M116" s="66">
        <v>0</v>
      </c>
      <c r="N116" s="66">
        <v>0</v>
      </c>
      <c r="O116" s="66">
        <v>0</v>
      </c>
      <c r="P116" s="45">
        <v>0</v>
      </c>
      <c r="Q116" s="85">
        <v>0</v>
      </c>
      <c r="R116" s="66">
        <v>0</v>
      </c>
      <c r="S116" s="66">
        <v>0</v>
      </c>
      <c r="T116" s="66">
        <v>0</v>
      </c>
      <c r="U116" s="66">
        <v>0</v>
      </c>
      <c r="V116" s="66">
        <v>0</v>
      </c>
      <c r="W116" s="66">
        <v>0</v>
      </c>
      <c r="X116" s="66">
        <v>0</v>
      </c>
      <c r="Y116" s="66">
        <v>0</v>
      </c>
      <c r="Z116" s="66">
        <v>0</v>
      </c>
      <c r="AA116" s="66">
        <v>0</v>
      </c>
      <c r="AB116" s="45">
        <v>0</v>
      </c>
      <c r="AC116" s="85">
        <v>0</v>
      </c>
      <c r="AD116" s="66">
        <v>0</v>
      </c>
      <c r="AE116" s="66">
        <v>0</v>
      </c>
      <c r="AF116" s="66">
        <v>0</v>
      </c>
      <c r="AG116" s="66">
        <v>0</v>
      </c>
      <c r="AH116" s="66">
        <v>0</v>
      </c>
      <c r="AI116" s="66">
        <v>0</v>
      </c>
      <c r="AJ116" s="66">
        <v>0</v>
      </c>
      <c r="AK116" s="66">
        <v>0</v>
      </c>
      <c r="AL116" s="66">
        <v>0</v>
      </c>
      <c r="AM116" s="66">
        <v>0</v>
      </c>
      <c r="AN116" s="45">
        <v>0</v>
      </c>
      <c r="AO116" s="834" t="str">
        <f t="shared" si="25"/>
        <v>Si</v>
      </c>
      <c r="AP116" s="45">
        <f t="shared" si="26"/>
        <v>0</v>
      </c>
    </row>
    <row r="117" spans="2:42" s="47" customFormat="1" x14ac:dyDescent="0.3">
      <c r="B117" s="43" t="s">
        <v>703</v>
      </c>
      <c r="C117" s="524" t="s">
        <v>704</v>
      </c>
      <c r="D117" s="36">
        <v>46583</v>
      </c>
      <c r="E117" s="36">
        <v>46614</v>
      </c>
      <c r="F117" s="44">
        <f t="shared" si="30"/>
        <v>31</v>
      </c>
      <c r="G117" s="44" t="s">
        <v>701</v>
      </c>
      <c r="H117" s="44" t="s">
        <v>705</v>
      </c>
      <c r="I117" s="66">
        <v>0</v>
      </c>
      <c r="J117" s="45">
        <f t="shared" si="29"/>
        <v>0</v>
      </c>
      <c r="K117" s="130">
        <v>0</v>
      </c>
      <c r="L117" s="66">
        <v>0</v>
      </c>
      <c r="M117" s="66">
        <v>0</v>
      </c>
      <c r="N117" s="66">
        <v>0</v>
      </c>
      <c r="O117" s="66">
        <v>0</v>
      </c>
      <c r="P117" s="45">
        <v>0</v>
      </c>
      <c r="Q117" s="85">
        <v>0</v>
      </c>
      <c r="R117" s="66">
        <v>0</v>
      </c>
      <c r="S117" s="66">
        <v>0</v>
      </c>
      <c r="T117" s="66">
        <v>0</v>
      </c>
      <c r="U117" s="66">
        <v>0</v>
      </c>
      <c r="V117" s="66">
        <v>0</v>
      </c>
      <c r="W117" s="66">
        <v>0</v>
      </c>
      <c r="X117" s="66">
        <v>0</v>
      </c>
      <c r="Y117" s="66">
        <v>0</v>
      </c>
      <c r="Z117" s="66">
        <v>0</v>
      </c>
      <c r="AA117" s="66">
        <v>0</v>
      </c>
      <c r="AB117" s="45">
        <v>0</v>
      </c>
      <c r="AC117" s="85">
        <v>0</v>
      </c>
      <c r="AD117" s="66">
        <v>0</v>
      </c>
      <c r="AE117" s="66">
        <v>0</v>
      </c>
      <c r="AF117" s="66">
        <v>0</v>
      </c>
      <c r="AG117" s="66">
        <v>0</v>
      </c>
      <c r="AH117" s="66">
        <v>0</v>
      </c>
      <c r="AI117" s="66">
        <v>0</v>
      </c>
      <c r="AJ117" s="66">
        <v>0</v>
      </c>
      <c r="AK117" s="66">
        <v>0</v>
      </c>
      <c r="AL117" s="66">
        <v>0</v>
      </c>
      <c r="AM117" s="66">
        <v>0</v>
      </c>
      <c r="AN117" s="45">
        <v>0</v>
      </c>
      <c r="AO117" s="834" t="str">
        <f t="shared" si="25"/>
        <v>Si</v>
      </c>
      <c r="AP117" s="45">
        <f t="shared" si="26"/>
        <v>0</v>
      </c>
    </row>
    <row r="118" spans="2:42" s="47" customFormat="1" x14ac:dyDescent="0.3">
      <c r="B118" s="43" t="s">
        <v>705</v>
      </c>
      <c r="C118" s="524" t="s">
        <v>706</v>
      </c>
      <c r="D118" s="36">
        <v>46614</v>
      </c>
      <c r="E118" s="36">
        <v>46645</v>
      </c>
      <c r="F118" s="44">
        <f t="shared" si="30"/>
        <v>31</v>
      </c>
      <c r="G118" s="44" t="s">
        <v>703</v>
      </c>
      <c r="H118" s="44" t="s">
        <v>491</v>
      </c>
      <c r="I118" s="66">
        <v>0</v>
      </c>
      <c r="J118" s="45">
        <f t="shared" si="29"/>
        <v>0</v>
      </c>
      <c r="K118" s="130">
        <v>0</v>
      </c>
      <c r="L118" s="66">
        <v>0</v>
      </c>
      <c r="M118" s="66">
        <v>0</v>
      </c>
      <c r="N118" s="66">
        <v>0</v>
      </c>
      <c r="O118" s="66">
        <v>0</v>
      </c>
      <c r="P118" s="45">
        <v>0</v>
      </c>
      <c r="Q118" s="85">
        <v>0</v>
      </c>
      <c r="R118" s="66">
        <v>0</v>
      </c>
      <c r="S118" s="66">
        <v>0</v>
      </c>
      <c r="T118" s="66">
        <v>0</v>
      </c>
      <c r="U118" s="66">
        <v>0</v>
      </c>
      <c r="V118" s="66">
        <v>0</v>
      </c>
      <c r="W118" s="66">
        <v>0</v>
      </c>
      <c r="X118" s="66">
        <v>0</v>
      </c>
      <c r="Y118" s="66">
        <v>0</v>
      </c>
      <c r="Z118" s="66">
        <v>0</v>
      </c>
      <c r="AA118" s="66">
        <v>0</v>
      </c>
      <c r="AB118" s="45">
        <v>0</v>
      </c>
      <c r="AC118" s="85">
        <v>0</v>
      </c>
      <c r="AD118" s="66">
        <v>0</v>
      </c>
      <c r="AE118" s="66">
        <v>0</v>
      </c>
      <c r="AF118" s="66">
        <v>0</v>
      </c>
      <c r="AG118" s="66">
        <v>0</v>
      </c>
      <c r="AH118" s="66">
        <v>0</v>
      </c>
      <c r="AI118" s="66">
        <v>0</v>
      </c>
      <c r="AJ118" s="66">
        <v>0</v>
      </c>
      <c r="AK118" s="66">
        <v>0</v>
      </c>
      <c r="AL118" s="66">
        <v>0</v>
      </c>
      <c r="AM118" s="66">
        <v>0</v>
      </c>
      <c r="AN118" s="45">
        <v>0</v>
      </c>
      <c r="AO118" s="834" t="str">
        <f t="shared" si="25"/>
        <v>Si</v>
      </c>
      <c r="AP118" s="45">
        <f t="shared" si="26"/>
        <v>0</v>
      </c>
    </row>
    <row r="119" spans="2:42" x14ac:dyDescent="0.3">
      <c r="B119" s="29" t="s">
        <v>707</v>
      </c>
      <c r="C119" s="19" t="s">
        <v>51</v>
      </c>
      <c r="D119" s="55">
        <f>+D120</f>
        <v>46024</v>
      </c>
      <c r="E119" s="55">
        <f>+E128</f>
        <v>46386</v>
      </c>
      <c r="F119" s="39">
        <f t="shared" si="30"/>
        <v>362</v>
      </c>
      <c r="G119" s="39"/>
      <c r="H119" s="39"/>
      <c r="I119" s="64">
        <f>+SUM(I127:I128,I124,I120)</f>
        <v>1678492.52</v>
      </c>
      <c r="J119" s="32">
        <f t="shared" si="29"/>
        <v>25625.84</v>
      </c>
      <c r="K119" s="564">
        <f t="shared" ref="K119:AN119" si="38">+SUM(K127:K128,K124,K120)</f>
        <v>0</v>
      </c>
      <c r="L119" s="64">
        <f t="shared" si="38"/>
        <v>0</v>
      </c>
      <c r="M119" s="64">
        <f t="shared" si="38"/>
        <v>0</v>
      </c>
      <c r="N119" s="64">
        <f t="shared" si="38"/>
        <v>0</v>
      </c>
      <c r="O119" s="64">
        <f t="shared" si="38"/>
        <v>0</v>
      </c>
      <c r="P119" s="32">
        <f t="shared" si="38"/>
        <v>0</v>
      </c>
      <c r="Q119" s="83">
        <f t="shared" si="38"/>
        <v>0</v>
      </c>
      <c r="R119" s="64">
        <f t="shared" si="38"/>
        <v>0</v>
      </c>
      <c r="S119" s="64">
        <f t="shared" si="38"/>
        <v>0</v>
      </c>
      <c r="T119" s="64">
        <f t="shared" si="38"/>
        <v>0</v>
      </c>
      <c r="U119" s="64">
        <f t="shared" si="38"/>
        <v>0</v>
      </c>
      <c r="V119" s="64">
        <f t="shared" si="38"/>
        <v>0</v>
      </c>
      <c r="W119" s="64">
        <f t="shared" si="38"/>
        <v>0</v>
      </c>
      <c r="X119" s="64">
        <f t="shared" si="38"/>
        <v>0</v>
      </c>
      <c r="Y119" s="64">
        <f t="shared" si="38"/>
        <v>0</v>
      </c>
      <c r="Z119" s="64">
        <f t="shared" si="38"/>
        <v>0</v>
      </c>
      <c r="AA119" s="64">
        <f t="shared" si="38"/>
        <v>5125.1680000000006</v>
      </c>
      <c r="AB119" s="32">
        <f t="shared" si="38"/>
        <v>0</v>
      </c>
      <c r="AC119" s="83">
        <f t="shared" si="38"/>
        <v>12812.92</v>
      </c>
      <c r="AD119" s="64">
        <f t="shared" si="38"/>
        <v>7687.7519999999995</v>
      </c>
      <c r="AE119" s="64">
        <f t="shared" si="38"/>
        <v>0</v>
      </c>
      <c r="AF119" s="64">
        <f t="shared" si="38"/>
        <v>0</v>
      </c>
      <c r="AG119" s="64">
        <f t="shared" si="38"/>
        <v>0</v>
      </c>
      <c r="AH119" s="64">
        <f t="shared" si="38"/>
        <v>0</v>
      </c>
      <c r="AI119" s="64">
        <f t="shared" si="38"/>
        <v>0</v>
      </c>
      <c r="AJ119" s="64">
        <f t="shared" si="38"/>
        <v>0</v>
      </c>
      <c r="AK119" s="64">
        <f t="shared" si="38"/>
        <v>0</v>
      </c>
      <c r="AL119" s="64">
        <f t="shared" si="38"/>
        <v>0</v>
      </c>
      <c r="AM119" s="64">
        <f t="shared" si="38"/>
        <v>0</v>
      </c>
      <c r="AN119" s="32">
        <f t="shared" si="38"/>
        <v>0</v>
      </c>
      <c r="AO119" s="832" t="str">
        <f t="shared" si="25"/>
        <v>Si</v>
      </c>
      <c r="AP119" s="32">
        <f t="shared" si="26"/>
        <v>25625.84</v>
      </c>
    </row>
    <row r="120" spans="2:42" x14ac:dyDescent="0.3">
      <c r="B120" s="30" t="s">
        <v>708</v>
      </c>
      <c r="C120" s="2" t="s">
        <v>709</v>
      </c>
      <c r="D120" s="42">
        <v>46024</v>
      </c>
      <c r="E120" s="42">
        <v>46386</v>
      </c>
      <c r="F120" s="40">
        <f t="shared" si="30"/>
        <v>362</v>
      </c>
      <c r="G120" s="40" t="s">
        <v>710</v>
      </c>
      <c r="H120" s="40" t="s">
        <v>491</v>
      </c>
      <c r="I120" s="65">
        <f>+SUM(I121:I123)+1678492.52</f>
        <v>1678492.52</v>
      </c>
      <c r="J120" s="33">
        <f>+I120/$J$13</f>
        <v>25625.84</v>
      </c>
      <c r="K120" s="622">
        <f t="shared" ref="K120:AN120" si="39">+SUM(K121:K123)</f>
        <v>0</v>
      </c>
      <c r="L120" s="65">
        <f t="shared" si="39"/>
        <v>0</v>
      </c>
      <c r="M120" s="65">
        <f t="shared" si="39"/>
        <v>0</v>
      </c>
      <c r="N120" s="65">
        <f t="shared" si="39"/>
        <v>0</v>
      </c>
      <c r="O120" s="65">
        <f t="shared" si="39"/>
        <v>0</v>
      </c>
      <c r="P120" s="33">
        <f t="shared" si="39"/>
        <v>0</v>
      </c>
      <c r="Q120" s="84">
        <f t="shared" si="39"/>
        <v>0</v>
      </c>
      <c r="R120" s="65">
        <f t="shared" si="39"/>
        <v>0</v>
      </c>
      <c r="S120" s="65">
        <f t="shared" si="39"/>
        <v>0</v>
      </c>
      <c r="T120" s="65"/>
      <c r="U120" s="65">
        <f t="shared" si="39"/>
        <v>0</v>
      </c>
      <c r="V120" s="65">
        <f t="shared" si="39"/>
        <v>0</v>
      </c>
      <c r="W120" s="65">
        <f t="shared" si="39"/>
        <v>0</v>
      </c>
      <c r="X120" s="65">
        <f t="shared" si="39"/>
        <v>0</v>
      </c>
      <c r="Y120" s="65" t="s">
        <v>1498</v>
      </c>
      <c r="Z120" s="65">
        <f t="shared" si="39"/>
        <v>0</v>
      </c>
      <c r="AA120" s="65">
        <v>5125.1680000000006</v>
      </c>
      <c r="AB120" s="33"/>
      <c r="AC120" s="84">
        <v>12812.92</v>
      </c>
      <c r="AD120" s="65">
        <v>7687.7519999999995</v>
      </c>
      <c r="AE120" s="65">
        <f t="shared" si="39"/>
        <v>0</v>
      </c>
      <c r="AF120" s="65">
        <f t="shared" si="39"/>
        <v>0</v>
      </c>
      <c r="AG120" s="65">
        <f t="shared" si="39"/>
        <v>0</v>
      </c>
      <c r="AH120" s="65">
        <f t="shared" si="39"/>
        <v>0</v>
      </c>
      <c r="AI120" s="65">
        <f t="shared" si="39"/>
        <v>0</v>
      </c>
      <c r="AJ120" s="65">
        <f t="shared" si="39"/>
        <v>0</v>
      </c>
      <c r="AK120" s="65">
        <f t="shared" si="39"/>
        <v>0</v>
      </c>
      <c r="AL120" s="65">
        <f t="shared" si="39"/>
        <v>0</v>
      </c>
      <c r="AM120" s="65">
        <f t="shared" si="39"/>
        <v>0</v>
      </c>
      <c r="AN120" s="33">
        <f t="shared" si="39"/>
        <v>0</v>
      </c>
      <c r="AO120" s="833" t="str">
        <f t="shared" si="25"/>
        <v>Si</v>
      </c>
      <c r="AP120" s="33">
        <f t="shared" si="26"/>
        <v>25625.84</v>
      </c>
    </row>
    <row r="121" spans="2:42" s="47" customFormat="1" x14ac:dyDescent="0.3">
      <c r="B121" s="43" t="s">
        <v>711</v>
      </c>
      <c r="C121" s="524" t="s">
        <v>712</v>
      </c>
      <c r="D121" s="49">
        <v>46024</v>
      </c>
      <c r="E121" s="49">
        <v>46386</v>
      </c>
      <c r="F121" s="44">
        <f t="shared" si="30"/>
        <v>362</v>
      </c>
      <c r="G121" s="44" t="s">
        <v>710</v>
      </c>
      <c r="H121" s="44" t="s">
        <v>491</v>
      </c>
      <c r="I121" s="66">
        <v>0</v>
      </c>
      <c r="J121" s="45">
        <f t="shared" si="29"/>
        <v>0</v>
      </c>
      <c r="K121" s="130">
        <v>0</v>
      </c>
      <c r="L121" s="66">
        <v>0</v>
      </c>
      <c r="M121" s="66">
        <v>0</v>
      </c>
      <c r="N121" s="66">
        <v>0</v>
      </c>
      <c r="O121" s="66">
        <v>0</v>
      </c>
      <c r="P121" s="45">
        <v>0</v>
      </c>
      <c r="Q121" s="85">
        <v>0</v>
      </c>
      <c r="R121" s="66">
        <v>0</v>
      </c>
      <c r="S121" s="66">
        <v>0</v>
      </c>
      <c r="T121" s="66">
        <v>0</v>
      </c>
      <c r="U121" s="66">
        <v>0</v>
      </c>
      <c r="V121" s="66">
        <v>0</v>
      </c>
      <c r="W121" s="66">
        <v>0</v>
      </c>
      <c r="X121" s="66">
        <v>0</v>
      </c>
      <c r="Y121" s="66">
        <v>0</v>
      </c>
      <c r="Z121" s="66">
        <v>0</v>
      </c>
      <c r="AA121" s="66">
        <v>0</v>
      </c>
      <c r="AB121" s="45">
        <v>0</v>
      </c>
      <c r="AC121" s="85">
        <v>0</v>
      </c>
      <c r="AD121" s="66">
        <v>0</v>
      </c>
      <c r="AE121" s="66">
        <v>0</v>
      </c>
      <c r="AF121" s="66">
        <v>0</v>
      </c>
      <c r="AG121" s="66">
        <v>0</v>
      </c>
      <c r="AH121" s="66">
        <v>0</v>
      </c>
      <c r="AI121" s="66">
        <v>0</v>
      </c>
      <c r="AJ121" s="66">
        <v>0</v>
      </c>
      <c r="AK121" s="66">
        <v>0</v>
      </c>
      <c r="AL121" s="66">
        <v>0</v>
      </c>
      <c r="AM121" s="66">
        <v>0</v>
      </c>
      <c r="AN121" s="45">
        <v>0</v>
      </c>
      <c r="AO121" s="834" t="str">
        <f t="shared" si="25"/>
        <v>Si</v>
      </c>
      <c r="AP121" s="45">
        <f t="shared" si="26"/>
        <v>0</v>
      </c>
    </row>
    <row r="122" spans="2:42" s="47" customFormat="1" x14ac:dyDescent="0.3">
      <c r="B122" s="43" t="s">
        <v>713</v>
      </c>
      <c r="C122" s="46" t="s">
        <v>714</v>
      </c>
      <c r="D122" s="49">
        <v>46024</v>
      </c>
      <c r="E122" s="49">
        <v>46386</v>
      </c>
      <c r="F122" s="44">
        <f t="shared" si="30"/>
        <v>362</v>
      </c>
      <c r="G122" s="44" t="s">
        <v>710</v>
      </c>
      <c r="H122" s="44" t="s">
        <v>491</v>
      </c>
      <c r="I122" s="66">
        <v>0</v>
      </c>
      <c r="J122" s="45">
        <f t="shared" si="29"/>
        <v>0</v>
      </c>
      <c r="K122" s="130">
        <v>0</v>
      </c>
      <c r="L122" s="66">
        <v>0</v>
      </c>
      <c r="M122" s="66">
        <v>0</v>
      </c>
      <c r="N122" s="66">
        <v>0</v>
      </c>
      <c r="O122" s="66">
        <v>0</v>
      </c>
      <c r="P122" s="45">
        <v>0</v>
      </c>
      <c r="Q122" s="85">
        <v>0</v>
      </c>
      <c r="R122" s="66">
        <v>0</v>
      </c>
      <c r="S122" s="66">
        <v>0</v>
      </c>
      <c r="T122" s="66">
        <v>0</v>
      </c>
      <c r="U122" s="66">
        <v>0</v>
      </c>
      <c r="V122" s="66">
        <v>0</v>
      </c>
      <c r="W122" s="66">
        <v>0</v>
      </c>
      <c r="X122" s="66">
        <v>0</v>
      </c>
      <c r="Y122" s="66">
        <v>0</v>
      </c>
      <c r="Z122" s="66">
        <v>0</v>
      </c>
      <c r="AA122" s="66">
        <v>0</v>
      </c>
      <c r="AB122" s="45">
        <v>0</v>
      </c>
      <c r="AC122" s="85">
        <v>0</v>
      </c>
      <c r="AD122" s="66">
        <v>0</v>
      </c>
      <c r="AE122" s="66">
        <v>0</v>
      </c>
      <c r="AF122" s="66">
        <v>0</v>
      </c>
      <c r="AG122" s="66">
        <v>0</v>
      </c>
      <c r="AH122" s="66">
        <v>0</v>
      </c>
      <c r="AI122" s="66">
        <v>0</v>
      </c>
      <c r="AJ122" s="66">
        <v>0</v>
      </c>
      <c r="AK122" s="66">
        <v>0</v>
      </c>
      <c r="AL122" s="66">
        <v>0</v>
      </c>
      <c r="AM122" s="66">
        <v>0</v>
      </c>
      <c r="AN122" s="45">
        <v>0</v>
      </c>
      <c r="AO122" s="834" t="str">
        <f t="shared" si="25"/>
        <v>Si</v>
      </c>
      <c r="AP122" s="45">
        <f t="shared" si="26"/>
        <v>0</v>
      </c>
    </row>
    <row r="123" spans="2:42" s="47" customFormat="1" x14ac:dyDescent="0.3">
      <c r="B123" s="43" t="s">
        <v>715</v>
      </c>
      <c r="C123" s="46" t="s">
        <v>716</v>
      </c>
      <c r="D123" s="49">
        <v>46024</v>
      </c>
      <c r="E123" s="49">
        <v>46386</v>
      </c>
      <c r="F123" s="44">
        <f t="shared" si="30"/>
        <v>362</v>
      </c>
      <c r="G123" s="44" t="s">
        <v>710</v>
      </c>
      <c r="H123" s="44" t="s">
        <v>491</v>
      </c>
      <c r="I123" s="66">
        <v>0</v>
      </c>
      <c r="J123" s="45">
        <f t="shared" si="29"/>
        <v>0</v>
      </c>
      <c r="K123" s="130">
        <v>0</v>
      </c>
      <c r="L123" s="66">
        <v>0</v>
      </c>
      <c r="M123" s="66">
        <v>0</v>
      </c>
      <c r="N123" s="66">
        <v>0</v>
      </c>
      <c r="O123" s="66">
        <v>0</v>
      </c>
      <c r="P123" s="45">
        <v>0</v>
      </c>
      <c r="Q123" s="85">
        <v>0</v>
      </c>
      <c r="R123" s="66">
        <v>0</v>
      </c>
      <c r="S123" s="66">
        <v>0</v>
      </c>
      <c r="T123" s="66">
        <v>0</v>
      </c>
      <c r="U123" s="66">
        <v>0</v>
      </c>
      <c r="V123" s="66">
        <v>0</v>
      </c>
      <c r="W123" s="66">
        <v>0</v>
      </c>
      <c r="X123" s="66">
        <v>0</v>
      </c>
      <c r="Y123" s="66">
        <v>0</v>
      </c>
      <c r="Z123" s="66">
        <v>0</v>
      </c>
      <c r="AA123" s="66">
        <v>0</v>
      </c>
      <c r="AB123" s="45">
        <v>0</v>
      </c>
      <c r="AC123" s="85">
        <v>0</v>
      </c>
      <c r="AD123" s="66">
        <v>0</v>
      </c>
      <c r="AE123" s="66">
        <v>0</v>
      </c>
      <c r="AF123" s="66">
        <v>0</v>
      </c>
      <c r="AG123" s="66">
        <v>0</v>
      </c>
      <c r="AH123" s="66">
        <v>0</v>
      </c>
      <c r="AI123" s="66">
        <v>0</v>
      </c>
      <c r="AJ123" s="66">
        <v>0</v>
      </c>
      <c r="AK123" s="66">
        <v>0</v>
      </c>
      <c r="AL123" s="66">
        <v>0</v>
      </c>
      <c r="AM123" s="66">
        <v>0</v>
      </c>
      <c r="AN123" s="45">
        <v>0</v>
      </c>
      <c r="AO123" s="834" t="str">
        <f t="shared" si="25"/>
        <v>Si</v>
      </c>
      <c r="AP123" s="45">
        <f t="shared" si="26"/>
        <v>0</v>
      </c>
    </row>
    <row r="124" spans="2:42" x14ac:dyDescent="0.3">
      <c r="B124" s="30" t="s">
        <v>717</v>
      </c>
      <c r="C124" s="2" t="s">
        <v>718</v>
      </c>
      <c r="D124" s="42">
        <v>46024</v>
      </c>
      <c r="E124" s="42">
        <v>46386</v>
      </c>
      <c r="F124" s="40">
        <f t="shared" si="30"/>
        <v>362</v>
      </c>
      <c r="G124" s="40" t="s">
        <v>710</v>
      </c>
      <c r="H124" s="40" t="s">
        <v>491</v>
      </c>
      <c r="I124" s="65">
        <f>+SUM(I125:I126)</f>
        <v>0</v>
      </c>
      <c r="J124" s="33">
        <f t="shared" si="29"/>
        <v>0</v>
      </c>
      <c r="K124" s="622">
        <f t="shared" ref="K124:AN124" si="40">+SUM(K125:K126)</f>
        <v>0</v>
      </c>
      <c r="L124" s="65">
        <f t="shared" si="40"/>
        <v>0</v>
      </c>
      <c r="M124" s="65">
        <f t="shared" si="40"/>
        <v>0</v>
      </c>
      <c r="N124" s="65">
        <f t="shared" si="40"/>
        <v>0</v>
      </c>
      <c r="O124" s="65">
        <f t="shared" si="40"/>
        <v>0</v>
      </c>
      <c r="P124" s="33">
        <f t="shared" si="40"/>
        <v>0</v>
      </c>
      <c r="Q124" s="84">
        <f t="shared" si="40"/>
        <v>0</v>
      </c>
      <c r="R124" s="65">
        <f t="shared" si="40"/>
        <v>0</v>
      </c>
      <c r="S124" s="65">
        <f t="shared" si="40"/>
        <v>0</v>
      </c>
      <c r="T124" s="65">
        <f t="shared" si="40"/>
        <v>0</v>
      </c>
      <c r="U124" s="65">
        <f t="shared" si="40"/>
        <v>0</v>
      </c>
      <c r="V124" s="65">
        <f t="shared" si="40"/>
        <v>0</v>
      </c>
      <c r="W124" s="65">
        <f t="shared" si="40"/>
        <v>0</v>
      </c>
      <c r="X124" s="65">
        <f t="shared" si="40"/>
        <v>0</v>
      </c>
      <c r="Y124" s="65">
        <f t="shared" si="40"/>
        <v>0</v>
      </c>
      <c r="Z124" s="65">
        <f t="shared" si="40"/>
        <v>0</v>
      </c>
      <c r="AA124" s="65">
        <f t="shared" si="40"/>
        <v>0</v>
      </c>
      <c r="AB124" s="33">
        <f t="shared" si="40"/>
        <v>0</v>
      </c>
      <c r="AC124" s="84">
        <f t="shared" si="40"/>
        <v>0</v>
      </c>
      <c r="AD124" s="65">
        <f t="shared" si="40"/>
        <v>0</v>
      </c>
      <c r="AE124" s="65">
        <f t="shared" si="40"/>
        <v>0</v>
      </c>
      <c r="AF124" s="65">
        <f t="shared" si="40"/>
        <v>0</v>
      </c>
      <c r="AG124" s="65">
        <f t="shared" si="40"/>
        <v>0</v>
      </c>
      <c r="AH124" s="65">
        <f t="shared" si="40"/>
        <v>0</v>
      </c>
      <c r="AI124" s="65">
        <f t="shared" si="40"/>
        <v>0</v>
      </c>
      <c r="AJ124" s="65">
        <f t="shared" si="40"/>
        <v>0</v>
      </c>
      <c r="AK124" s="65">
        <f t="shared" si="40"/>
        <v>0</v>
      </c>
      <c r="AL124" s="65">
        <f t="shared" si="40"/>
        <v>0</v>
      </c>
      <c r="AM124" s="65">
        <f t="shared" si="40"/>
        <v>0</v>
      </c>
      <c r="AN124" s="33">
        <f t="shared" si="40"/>
        <v>0</v>
      </c>
      <c r="AO124" s="833" t="str">
        <f t="shared" si="25"/>
        <v>Si</v>
      </c>
      <c r="AP124" s="33">
        <f t="shared" si="26"/>
        <v>0</v>
      </c>
    </row>
    <row r="125" spans="2:42" s="47" customFormat="1" x14ac:dyDescent="0.3">
      <c r="B125" s="43" t="s">
        <v>719</v>
      </c>
      <c r="C125" s="46" t="s">
        <v>720</v>
      </c>
      <c r="D125" s="49">
        <v>46024</v>
      </c>
      <c r="E125" s="49">
        <v>46386</v>
      </c>
      <c r="F125" s="44">
        <f t="shared" si="30"/>
        <v>362</v>
      </c>
      <c r="G125" s="44" t="s">
        <v>710</v>
      </c>
      <c r="H125" s="44" t="s">
        <v>491</v>
      </c>
      <c r="I125" s="66">
        <v>0</v>
      </c>
      <c r="J125" s="45">
        <f t="shared" si="29"/>
        <v>0</v>
      </c>
      <c r="K125" s="130">
        <v>0</v>
      </c>
      <c r="L125" s="66">
        <v>0</v>
      </c>
      <c r="M125" s="66">
        <v>0</v>
      </c>
      <c r="N125" s="66">
        <v>0</v>
      </c>
      <c r="O125" s="66">
        <v>0</v>
      </c>
      <c r="P125" s="45">
        <v>0</v>
      </c>
      <c r="Q125" s="85">
        <v>0</v>
      </c>
      <c r="R125" s="66">
        <v>0</v>
      </c>
      <c r="S125" s="66">
        <v>0</v>
      </c>
      <c r="T125" s="66">
        <v>0</v>
      </c>
      <c r="U125" s="66">
        <v>0</v>
      </c>
      <c r="V125" s="66">
        <v>0</v>
      </c>
      <c r="W125" s="66">
        <v>0</v>
      </c>
      <c r="X125" s="66">
        <v>0</v>
      </c>
      <c r="Y125" s="66">
        <v>0</v>
      </c>
      <c r="Z125" s="66">
        <v>0</v>
      </c>
      <c r="AA125" s="66">
        <v>0</v>
      </c>
      <c r="AB125" s="45">
        <v>0</v>
      </c>
      <c r="AC125" s="85">
        <v>0</v>
      </c>
      <c r="AD125" s="66">
        <v>0</v>
      </c>
      <c r="AE125" s="66">
        <v>0</v>
      </c>
      <c r="AF125" s="66">
        <v>0</v>
      </c>
      <c r="AG125" s="66">
        <v>0</v>
      </c>
      <c r="AH125" s="66">
        <v>0</v>
      </c>
      <c r="AI125" s="66">
        <v>0</v>
      </c>
      <c r="AJ125" s="66">
        <v>0</v>
      </c>
      <c r="AK125" s="66">
        <v>0</v>
      </c>
      <c r="AL125" s="66">
        <v>0</v>
      </c>
      <c r="AM125" s="66">
        <v>0</v>
      </c>
      <c r="AN125" s="45">
        <v>0</v>
      </c>
      <c r="AO125" s="834" t="str">
        <f t="shared" si="25"/>
        <v>Si</v>
      </c>
      <c r="AP125" s="45">
        <f t="shared" si="26"/>
        <v>0</v>
      </c>
    </row>
    <row r="126" spans="2:42" s="47" customFormat="1" x14ac:dyDescent="0.3">
      <c r="B126" s="43" t="s">
        <v>721</v>
      </c>
      <c r="C126" s="69" t="s">
        <v>722</v>
      </c>
      <c r="D126" s="49">
        <v>46024</v>
      </c>
      <c r="E126" s="49">
        <v>46386</v>
      </c>
      <c r="F126" s="44">
        <f t="shared" ref="F126" si="41">ABS(+_xlfn.DAYS(D126,E126))</f>
        <v>362</v>
      </c>
      <c r="G126" s="44" t="s">
        <v>710</v>
      </c>
      <c r="H126" s="44" t="s">
        <v>491</v>
      </c>
      <c r="I126" s="66">
        <v>0</v>
      </c>
      <c r="J126" s="45">
        <f t="shared" si="29"/>
        <v>0</v>
      </c>
      <c r="K126" s="130">
        <v>0</v>
      </c>
      <c r="L126" s="66">
        <v>0</v>
      </c>
      <c r="M126" s="66">
        <v>0</v>
      </c>
      <c r="N126" s="66">
        <v>0</v>
      </c>
      <c r="O126" s="66">
        <v>0</v>
      </c>
      <c r="P126" s="45">
        <v>0</v>
      </c>
      <c r="Q126" s="85">
        <v>0</v>
      </c>
      <c r="R126" s="66">
        <v>0</v>
      </c>
      <c r="S126" s="66">
        <v>0</v>
      </c>
      <c r="T126" s="66">
        <v>0</v>
      </c>
      <c r="U126" s="66">
        <v>0</v>
      </c>
      <c r="V126" s="66">
        <v>0</v>
      </c>
      <c r="W126" s="66">
        <v>0</v>
      </c>
      <c r="X126" s="66">
        <v>0</v>
      </c>
      <c r="Y126" s="66">
        <v>0</v>
      </c>
      <c r="Z126" s="66">
        <v>0</v>
      </c>
      <c r="AA126" s="66">
        <v>0</v>
      </c>
      <c r="AB126" s="45">
        <v>0</v>
      </c>
      <c r="AC126" s="85">
        <v>0</v>
      </c>
      <c r="AD126" s="66">
        <v>0</v>
      </c>
      <c r="AE126" s="66">
        <v>0</v>
      </c>
      <c r="AF126" s="66">
        <v>0</v>
      </c>
      <c r="AG126" s="66">
        <v>0</v>
      </c>
      <c r="AH126" s="66">
        <v>0</v>
      </c>
      <c r="AI126" s="66">
        <v>0</v>
      </c>
      <c r="AJ126" s="66">
        <v>0</v>
      </c>
      <c r="AK126" s="66">
        <v>0</v>
      </c>
      <c r="AL126" s="66">
        <v>0</v>
      </c>
      <c r="AM126" s="66">
        <v>0</v>
      </c>
      <c r="AN126" s="45">
        <v>0</v>
      </c>
      <c r="AO126" s="834" t="str">
        <f t="shared" si="25"/>
        <v>Si</v>
      </c>
      <c r="AP126" s="45">
        <f t="shared" si="26"/>
        <v>0</v>
      </c>
    </row>
    <row r="127" spans="2:42" x14ac:dyDescent="0.3">
      <c r="B127" s="30" t="s">
        <v>723</v>
      </c>
      <c r="C127" s="2" t="s">
        <v>724</v>
      </c>
      <c r="D127" s="42">
        <v>46024</v>
      </c>
      <c r="E127" s="42">
        <v>46386</v>
      </c>
      <c r="F127" s="40">
        <f t="shared" si="30"/>
        <v>362</v>
      </c>
      <c r="G127" s="40" t="s">
        <v>710</v>
      </c>
      <c r="H127" s="40" t="s">
        <v>491</v>
      </c>
      <c r="I127" s="65">
        <v>0</v>
      </c>
      <c r="J127" s="33">
        <f t="shared" si="29"/>
        <v>0</v>
      </c>
      <c r="K127" s="622">
        <v>0</v>
      </c>
      <c r="L127" s="65">
        <v>0</v>
      </c>
      <c r="M127" s="65">
        <v>0</v>
      </c>
      <c r="N127" s="65">
        <v>0</v>
      </c>
      <c r="O127" s="65">
        <v>0</v>
      </c>
      <c r="P127" s="33">
        <v>0</v>
      </c>
      <c r="Q127" s="84">
        <v>0</v>
      </c>
      <c r="R127" s="65">
        <v>0</v>
      </c>
      <c r="S127" s="65">
        <v>0</v>
      </c>
      <c r="T127" s="65">
        <v>0</v>
      </c>
      <c r="U127" s="65">
        <v>0</v>
      </c>
      <c r="V127" s="65">
        <v>0</v>
      </c>
      <c r="W127" s="65">
        <v>0</v>
      </c>
      <c r="X127" s="65">
        <v>0</v>
      </c>
      <c r="Y127" s="65">
        <v>0</v>
      </c>
      <c r="Z127" s="65">
        <v>0</v>
      </c>
      <c r="AA127" s="65">
        <v>0</v>
      </c>
      <c r="AB127" s="33">
        <v>0</v>
      </c>
      <c r="AC127" s="84">
        <v>0</v>
      </c>
      <c r="AD127" s="65">
        <v>0</v>
      </c>
      <c r="AE127" s="65">
        <v>0</v>
      </c>
      <c r="AF127" s="65">
        <v>0</v>
      </c>
      <c r="AG127" s="65">
        <v>0</v>
      </c>
      <c r="AH127" s="65">
        <v>0</v>
      </c>
      <c r="AI127" s="65">
        <v>0</v>
      </c>
      <c r="AJ127" s="65">
        <v>0</v>
      </c>
      <c r="AK127" s="65">
        <v>0</v>
      </c>
      <c r="AL127" s="65">
        <v>0</v>
      </c>
      <c r="AM127" s="65">
        <v>0</v>
      </c>
      <c r="AN127" s="33">
        <v>0</v>
      </c>
      <c r="AO127" s="833" t="str">
        <f t="shared" si="25"/>
        <v>Si</v>
      </c>
      <c r="AP127" s="33">
        <f t="shared" si="26"/>
        <v>0</v>
      </c>
    </row>
    <row r="128" spans="2:42" x14ac:dyDescent="0.3">
      <c r="B128" s="30" t="s">
        <v>725</v>
      </c>
      <c r="C128" s="2" t="s">
        <v>726</v>
      </c>
      <c r="D128" s="42">
        <v>46024</v>
      </c>
      <c r="E128" s="42">
        <v>46386</v>
      </c>
      <c r="F128" s="40">
        <f t="shared" si="30"/>
        <v>362</v>
      </c>
      <c r="G128" s="40" t="s">
        <v>710</v>
      </c>
      <c r="H128" s="40" t="s">
        <v>491</v>
      </c>
      <c r="I128" s="65">
        <v>0</v>
      </c>
      <c r="J128" s="33">
        <f t="shared" si="29"/>
        <v>0</v>
      </c>
      <c r="K128" s="622">
        <v>0</v>
      </c>
      <c r="L128" s="65">
        <v>0</v>
      </c>
      <c r="M128" s="65">
        <v>0</v>
      </c>
      <c r="N128" s="65">
        <v>0</v>
      </c>
      <c r="O128" s="65">
        <v>0</v>
      </c>
      <c r="P128" s="33">
        <v>0</v>
      </c>
      <c r="Q128" s="84">
        <v>0</v>
      </c>
      <c r="R128" s="65">
        <v>0</v>
      </c>
      <c r="S128" s="65">
        <v>0</v>
      </c>
      <c r="T128" s="65">
        <v>0</v>
      </c>
      <c r="U128" s="65">
        <v>0</v>
      </c>
      <c r="V128" s="65">
        <v>0</v>
      </c>
      <c r="W128" s="65">
        <v>0</v>
      </c>
      <c r="X128" s="65">
        <v>0</v>
      </c>
      <c r="Y128" s="65">
        <v>0</v>
      </c>
      <c r="Z128" s="65">
        <v>0</v>
      </c>
      <c r="AA128" s="65">
        <v>0</v>
      </c>
      <c r="AB128" s="33">
        <v>0</v>
      </c>
      <c r="AC128" s="84">
        <v>0</v>
      </c>
      <c r="AD128" s="65">
        <v>0</v>
      </c>
      <c r="AE128" s="65">
        <v>0</v>
      </c>
      <c r="AF128" s="65">
        <v>0</v>
      </c>
      <c r="AG128" s="65">
        <v>0</v>
      </c>
      <c r="AH128" s="65">
        <v>0</v>
      </c>
      <c r="AI128" s="65">
        <v>0</v>
      </c>
      <c r="AJ128" s="65">
        <v>0</v>
      </c>
      <c r="AK128" s="65">
        <v>0</v>
      </c>
      <c r="AL128" s="65">
        <v>0</v>
      </c>
      <c r="AM128" s="65">
        <v>0</v>
      </c>
      <c r="AN128" s="33">
        <v>0</v>
      </c>
      <c r="AO128" s="833" t="str">
        <f>IF(SUM(K128:AN128)=J128,"Si","No")</f>
        <v>Si</v>
      </c>
      <c r="AP128" s="33">
        <f t="shared" si="26"/>
        <v>0</v>
      </c>
    </row>
    <row r="129" spans="2:42" x14ac:dyDescent="0.3">
      <c r="B129" s="29" t="s">
        <v>55</v>
      </c>
      <c r="C129" s="19" t="s">
        <v>56</v>
      </c>
      <c r="D129" s="55">
        <v>46024</v>
      </c>
      <c r="E129" s="55">
        <v>46751</v>
      </c>
      <c r="F129" s="39">
        <f t="shared" si="30"/>
        <v>727</v>
      </c>
      <c r="G129" s="39" t="s">
        <v>490</v>
      </c>
      <c r="H129" s="39" t="s">
        <v>491</v>
      </c>
      <c r="I129" s="392">
        <f>1386303.97*65.5</f>
        <v>90802910.034999996</v>
      </c>
      <c r="J129" s="32">
        <f>ROUND(I129/$J$13,2)</f>
        <v>1386303.97</v>
      </c>
      <c r="K129" s="564">
        <v>0</v>
      </c>
      <c r="L129" s="64">
        <v>0</v>
      </c>
      <c r="M129" s="64">
        <v>0</v>
      </c>
      <c r="N129" s="64">
        <v>0</v>
      </c>
      <c r="O129" s="64">
        <v>0</v>
      </c>
      <c r="P129" s="32">
        <v>0</v>
      </c>
      <c r="Q129" s="83">
        <v>49224.347568904959</v>
      </c>
      <c r="R129" s="64">
        <v>65126.58256890496</v>
      </c>
      <c r="S129" s="64">
        <v>96581.572568904972</v>
      </c>
      <c r="T129" s="64">
        <v>64626.58256890496</v>
      </c>
      <c r="U129" s="64">
        <v>64626.58256890496</v>
      </c>
      <c r="V129" s="64">
        <v>59626.58256890496</v>
      </c>
      <c r="W129" s="64">
        <v>57126.58256890496</v>
      </c>
      <c r="X129" s="64">
        <v>57126.58256890496</v>
      </c>
      <c r="Y129" s="64">
        <v>57126.58256890496</v>
      </c>
      <c r="Z129" s="64">
        <v>58126.58256890496</v>
      </c>
      <c r="AA129" s="64">
        <v>57126.58256890496</v>
      </c>
      <c r="AB129" s="32">
        <v>57126.58256890496</v>
      </c>
      <c r="AC129" s="83">
        <v>57126.58256890496</v>
      </c>
      <c r="AD129" s="64">
        <v>57126.58256890496</v>
      </c>
      <c r="AE129" s="64">
        <v>58126.58256890496</v>
      </c>
      <c r="AF129" s="64">
        <v>57126.58256890496</v>
      </c>
      <c r="AG129" s="64">
        <v>57126.58256890496</v>
      </c>
      <c r="AH129" s="64">
        <v>52727.95756890496</v>
      </c>
      <c r="AI129" s="64">
        <v>50227.95756890496</v>
      </c>
      <c r="AJ129" s="64">
        <v>50227.95756890496</v>
      </c>
      <c r="AK129" s="64">
        <v>50227.95756890496</v>
      </c>
      <c r="AL129" s="64">
        <v>51227.95756890496</v>
      </c>
      <c r="AM129" s="64">
        <v>50227.95756890496</v>
      </c>
      <c r="AN129" s="32">
        <v>51231.56756890496</v>
      </c>
      <c r="AO129" s="833" t="str">
        <f>IF(SUM(K129:AN129)=J129,"Si","No")</f>
        <v>No</v>
      </c>
      <c r="AP129" s="32">
        <f>+SUM(Q129:AN129)</f>
        <v>1386303.9716537185</v>
      </c>
    </row>
    <row r="130" spans="2:42" x14ac:dyDescent="0.3">
      <c r="B130" s="27" t="s">
        <v>727</v>
      </c>
      <c r="C130" s="15" t="s">
        <v>728</v>
      </c>
      <c r="D130" s="53"/>
      <c r="E130" s="53"/>
      <c r="F130" s="37">
        <f t="shared" si="30"/>
        <v>0</v>
      </c>
      <c r="G130" s="37" t="str">
        <f>+G131</f>
        <v>INICIO</v>
      </c>
      <c r="H130" s="37"/>
      <c r="I130" s="62">
        <f>+SUM(I131,I145,I160,I165,I180,I184,I183)</f>
        <v>211901144.69</v>
      </c>
      <c r="J130" s="31">
        <f>+I130/$J$13</f>
        <v>3235131.98</v>
      </c>
      <c r="K130" s="620">
        <f>+SUM(K131,K145,K160,K165,K180,K183,K184)</f>
        <v>0</v>
      </c>
      <c r="L130" s="82">
        <f t="shared" ref="L130:AN130" si="42">+SUM(L131,L145,L160,L165,L180,L183,L184)</f>
        <v>0</v>
      </c>
      <c r="M130" s="82">
        <f t="shared" si="42"/>
        <v>0</v>
      </c>
      <c r="N130" s="82">
        <f t="shared" si="42"/>
        <v>0</v>
      </c>
      <c r="O130" s="82">
        <f t="shared" si="42"/>
        <v>0</v>
      </c>
      <c r="P130" s="565">
        <f t="shared" si="42"/>
        <v>0</v>
      </c>
      <c r="Q130" s="82">
        <f t="shared" si="42"/>
        <v>11463.061960784318</v>
      </c>
      <c r="R130" s="82">
        <f t="shared" si="42"/>
        <v>97112.889865546225</v>
      </c>
      <c r="S130" s="82">
        <f t="shared" si="42"/>
        <v>75812.889865546211</v>
      </c>
      <c r="T130" s="82">
        <f t="shared" si="42"/>
        <v>143193.84224649859</v>
      </c>
      <c r="U130" s="82">
        <f t="shared" si="42"/>
        <v>137868.44542110179</v>
      </c>
      <c r="V130" s="82">
        <f t="shared" si="42"/>
        <v>206368.44542110176</v>
      </c>
      <c r="W130" s="82">
        <f t="shared" si="42"/>
        <v>142868.44542110176</v>
      </c>
      <c r="X130" s="82">
        <f t="shared" si="42"/>
        <v>246768.44542110176</v>
      </c>
      <c r="Y130" s="82">
        <f t="shared" si="42"/>
        <v>183297.01684967321</v>
      </c>
      <c r="Z130" s="82">
        <f t="shared" si="42"/>
        <v>178630.35018300652</v>
      </c>
      <c r="AA130" s="82">
        <f t="shared" si="42"/>
        <v>112216.06446872084</v>
      </c>
      <c r="AB130" s="565">
        <f t="shared" si="42"/>
        <v>36130.350183006543</v>
      </c>
      <c r="AC130" s="82">
        <f t="shared" si="42"/>
        <v>386552.9692306256</v>
      </c>
      <c r="AD130" s="82">
        <f t="shared" si="42"/>
        <v>225050.11208776847</v>
      </c>
      <c r="AE130" s="82">
        <f t="shared" si="42"/>
        <v>232410.11208776847</v>
      </c>
      <c r="AF130" s="82">
        <f t="shared" si="42"/>
        <v>268743.44542110176</v>
      </c>
      <c r="AG130" s="82">
        <f t="shared" si="42"/>
        <v>197665.04608776845</v>
      </c>
      <c r="AH130" s="82">
        <f t="shared" si="42"/>
        <v>111972.10491129785</v>
      </c>
      <c r="AI130" s="82">
        <f t="shared" si="42"/>
        <v>115612.10491129785</v>
      </c>
      <c r="AJ130" s="82">
        <f t="shared" si="42"/>
        <v>36897.819197012141</v>
      </c>
      <c r="AK130" s="82">
        <f t="shared" si="42"/>
        <v>28915.676339869286</v>
      </c>
      <c r="AL130" s="82">
        <f t="shared" si="42"/>
        <v>42915.676339869286</v>
      </c>
      <c r="AM130" s="82">
        <f t="shared" si="42"/>
        <v>8333.3333333333339</v>
      </c>
      <c r="AN130" s="565">
        <f t="shared" si="42"/>
        <v>8333.3333333333339</v>
      </c>
      <c r="AO130" s="830" t="str">
        <f>IF(SUM(K130:AN130)=J130,"Si","No")</f>
        <v>No</v>
      </c>
      <c r="AP130" s="565">
        <f t="shared" si="26"/>
        <v>3235131.9805882364</v>
      </c>
    </row>
    <row r="131" spans="2:42" ht="28.8" x14ac:dyDescent="0.3">
      <c r="B131" s="29" t="s">
        <v>114</v>
      </c>
      <c r="C131" s="19" t="s">
        <v>115</v>
      </c>
      <c r="D131" s="55">
        <f>+D132</f>
        <v>45689</v>
      </c>
      <c r="E131" s="55">
        <f>+E144</f>
        <v>46541</v>
      </c>
      <c r="F131" s="39">
        <f t="shared" si="30"/>
        <v>852</v>
      </c>
      <c r="G131" s="39" t="str">
        <f>+G132</f>
        <v>INICIO</v>
      </c>
      <c r="H131" s="39"/>
      <c r="I131" s="64">
        <f>+SUM(I132:I144)</f>
        <v>11953750</v>
      </c>
      <c r="J131" s="32">
        <f t="shared" si="29"/>
        <v>182500</v>
      </c>
      <c r="K131" s="564">
        <f t="shared" ref="K131:P131" si="43">+SUM(K132:K144)</f>
        <v>0</v>
      </c>
      <c r="L131" s="64">
        <f t="shared" si="43"/>
        <v>0</v>
      </c>
      <c r="M131" s="64">
        <f t="shared" si="43"/>
        <v>0</v>
      </c>
      <c r="N131" s="64">
        <f t="shared" si="43"/>
        <v>0</v>
      </c>
      <c r="O131" s="64">
        <f t="shared" si="43"/>
        <v>0</v>
      </c>
      <c r="P131" s="32">
        <f t="shared" si="43"/>
        <v>0</v>
      </c>
      <c r="Q131" s="83">
        <f>+SUM(Q132:Q144)</f>
        <v>0</v>
      </c>
      <c r="R131" s="64">
        <f t="shared" ref="R131:AN131" si="44">+SUM(R132:R144)</f>
        <v>0</v>
      </c>
      <c r="S131" s="64">
        <f t="shared" si="44"/>
        <v>4200</v>
      </c>
      <c r="T131" s="64">
        <f t="shared" si="44"/>
        <v>8414.2857142857138</v>
      </c>
      <c r="U131" s="64">
        <f t="shared" si="44"/>
        <v>12414.285714285714</v>
      </c>
      <c r="V131" s="64">
        <f t="shared" si="44"/>
        <v>13414.285714285714</v>
      </c>
      <c r="W131" s="64">
        <f t="shared" si="44"/>
        <v>8414.2857142857138</v>
      </c>
      <c r="X131" s="64">
        <f t="shared" si="44"/>
        <v>23814.285714285714</v>
      </c>
      <c r="Y131" s="64">
        <f t="shared" si="44"/>
        <v>8414.2857142857138</v>
      </c>
      <c r="Z131" s="64">
        <f t="shared" si="44"/>
        <v>8414.2857142857138</v>
      </c>
      <c r="AA131" s="64">
        <f t="shared" si="44"/>
        <v>15000</v>
      </c>
      <c r="AB131" s="32">
        <f t="shared" si="44"/>
        <v>4200</v>
      </c>
      <c r="AC131" s="83">
        <f t="shared" si="44"/>
        <v>9428.5714285714294</v>
      </c>
      <c r="AD131" s="64">
        <f t="shared" si="44"/>
        <v>15085.714285714286</v>
      </c>
      <c r="AE131" s="64">
        <f t="shared" si="44"/>
        <v>8285.7142857142862</v>
      </c>
      <c r="AF131" s="64">
        <f t="shared" si="44"/>
        <v>8285.7142857142862</v>
      </c>
      <c r="AG131" s="64">
        <f t="shared" si="44"/>
        <v>8285.7142857142862</v>
      </c>
      <c r="AH131" s="64">
        <f t="shared" si="44"/>
        <v>8285.7142857142862</v>
      </c>
      <c r="AI131" s="64">
        <f t="shared" si="44"/>
        <v>8285.7142857142862</v>
      </c>
      <c r="AJ131" s="64">
        <f t="shared" si="44"/>
        <v>3857.1428571428569</v>
      </c>
      <c r="AK131" s="64">
        <f t="shared" si="44"/>
        <v>3000</v>
      </c>
      <c r="AL131" s="64">
        <f t="shared" si="44"/>
        <v>3000</v>
      </c>
      <c r="AM131" s="64">
        <f t="shared" si="44"/>
        <v>0</v>
      </c>
      <c r="AN131" s="32">
        <f t="shared" si="44"/>
        <v>0</v>
      </c>
      <c r="AO131" s="832" t="str">
        <f t="shared" si="25"/>
        <v>Si</v>
      </c>
      <c r="AP131" s="32">
        <f t="shared" si="26"/>
        <v>182500.00000000003</v>
      </c>
    </row>
    <row r="132" spans="2:42" x14ac:dyDescent="0.3">
      <c r="B132" s="30" t="s">
        <v>729</v>
      </c>
      <c r="C132" s="2" t="s">
        <v>730</v>
      </c>
      <c r="D132" s="56">
        <v>45689</v>
      </c>
      <c r="E132" s="56">
        <v>45716</v>
      </c>
      <c r="F132" s="41">
        <f t="shared" si="30"/>
        <v>27</v>
      </c>
      <c r="G132" s="41" t="s">
        <v>490</v>
      </c>
      <c r="H132" s="41" t="s">
        <v>731</v>
      </c>
      <c r="I132" s="70">
        <v>0</v>
      </c>
      <c r="J132" s="34">
        <f t="shared" si="29"/>
        <v>0</v>
      </c>
      <c r="K132" s="625">
        <v>0</v>
      </c>
      <c r="L132" s="70">
        <v>0</v>
      </c>
      <c r="M132" s="70">
        <v>0</v>
      </c>
      <c r="N132" s="70">
        <v>0</v>
      </c>
      <c r="O132" s="70">
        <v>0</v>
      </c>
      <c r="P132" s="34">
        <v>0</v>
      </c>
      <c r="Q132" s="88">
        <v>0</v>
      </c>
      <c r="R132" s="70">
        <v>0</v>
      </c>
      <c r="S132" s="70">
        <v>0</v>
      </c>
      <c r="T132" s="70">
        <v>0</v>
      </c>
      <c r="U132" s="70">
        <v>0</v>
      </c>
      <c r="V132" s="70">
        <v>0</v>
      </c>
      <c r="W132" s="70">
        <v>0</v>
      </c>
      <c r="X132" s="70">
        <v>0</v>
      </c>
      <c r="Y132" s="70">
        <v>0</v>
      </c>
      <c r="Z132" s="70">
        <v>0</v>
      </c>
      <c r="AA132" s="70">
        <v>0</v>
      </c>
      <c r="AB132" s="34">
        <v>0</v>
      </c>
      <c r="AC132" s="88">
        <v>0</v>
      </c>
      <c r="AD132" s="70">
        <v>0</v>
      </c>
      <c r="AE132" s="70">
        <v>0</v>
      </c>
      <c r="AF132" s="70">
        <v>0</v>
      </c>
      <c r="AG132" s="70">
        <v>0</v>
      </c>
      <c r="AH132" s="70">
        <v>0</v>
      </c>
      <c r="AI132" s="70">
        <v>0</v>
      </c>
      <c r="AJ132" s="70">
        <v>0</v>
      </c>
      <c r="AK132" s="70">
        <v>0</v>
      </c>
      <c r="AL132" s="70">
        <v>0</v>
      </c>
      <c r="AM132" s="70">
        <v>0</v>
      </c>
      <c r="AN132" s="34">
        <v>0</v>
      </c>
      <c r="AO132" s="835" t="str">
        <f t="shared" si="25"/>
        <v>Si</v>
      </c>
      <c r="AP132" s="34">
        <f t="shared" si="26"/>
        <v>0</v>
      </c>
    </row>
    <row r="133" spans="2:42" x14ac:dyDescent="0.3">
      <c r="B133" s="30" t="s">
        <v>731</v>
      </c>
      <c r="C133" s="2" t="s">
        <v>732</v>
      </c>
      <c r="D133" s="56">
        <v>45717</v>
      </c>
      <c r="E133" s="56">
        <v>45747</v>
      </c>
      <c r="F133" s="41">
        <f t="shared" si="30"/>
        <v>30</v>
      </c>
      <c r="G133" s="41" t="s">
        <v>729</v>
      </c>
      <c r="H133" s="41" t="s">
        <v>733</v>
      </c>
      <c r="I133" s="70">
        <v>0</v>
      </c>
      <c r="J133" s="34">
        <f t="shared" si="29"/>
        <v>0</v>
      </c>
      <c r="K133" s="625">
        <v>0</v>
      </c>
      <c r="L133" s="70">
        <v>0</v>
      </c>
      <c r="M133" s="70">
        <v>0</v>
      </c>
      <c r="N133" s="70">
        <v>0</v>
      </c>
      <c r="O133" s="70">
        <v>0</v>
      </c>
      <c r="P133" s="34">
        <v>0</v>
      </c>
      <c r="Q133" s="88">
        <v>0</v>
      </c>
      <c r="R133" s="70">
        <v>0</v>
      </c>
      <c r="S133" s="70">
        <v>0</v>
      </c>
      <c r="T133" s="70">
        <v>0</v>
      </c>
      <c r="U133" s="70">
        <v>0</v>
      </c>
      <c r="V133" s="70">
        <v>0</v>
      </c>
      <c r="W133" s="70">
        <v>0</v>
      </c>
      <c r="X133" s="70">
        <v>0</v>
      </c>
      <c r="Y133" s="70">
        <v>0</v>
      </c>
      <c r="Z133" s="70">
        <v>0</v>
      </c>
      <c r="AA133" s="70">
        <v>0</v>
      </c>
      <c r="AB133" s="34">
        <v>0</v>
      </c>
      <c r="AC133" s="88">
        <v>0</v>
      </c>
      <c r="AD133" s="70">
        <v>0</v>
      </c>
      <c r="AE133" s="70">
        <v>0</v>
      </c>
      <c r="AF133" s="70">
        <v>0</v>
      </c>
      <c r="AG133" s="70">
        <v>0</v>
      </c>
      <c r="AH133" s="70">
        <v>0</v>
      </c>
      <c r="AI133" s="70">
        <v>0</v>
      </c>
      <c r="AJ133" s="70">
        <v>0</v>
      </c>
      <c r="AK133" s="70">
        <v>0</v>
      </c>
      <c r="AL133" s="70">
        <v>0</v>
      </c>
      <c r="AM133" s="70">
        <v>0</v>
      </c>
      <c r="AN133" s="34">
        <v>0</v>
      </c>
      <c r="AO133" s="835" t="str">
        <f t="shared" si="25"/>
        <v>Si</v>
      </c>
      <c r="AP133" s="34">
        <f t="shared" si="26"/>
        <v>0</v>
      </c>
    </row>
    <row r="134" spans="2:42" ht="28.8" x14ac:dyDescent="0.3">
      <c r="B134" s="30" t="s">
        <v>733</v>
      </c>
      <c r="C134" s="2" t="s">
        <v>734</v>
      </c>
      <c r="D134" s="56">
        <v>45748</v>
      </c>
      <c r="E134" s="56">
        <v>45762</v>
      </c>
      <c r="F134" s="41">
        <f t="shared" si="30"/>
        <v>14</v>
      </c>
      <c r="G134" s="41" t="s">
        <v>731</v>
      </c>
      <c r="H134" s="41" t="s">
        <v>735</v>
      </c>
      <c r="I134" s="70">
        <v>0</v>
      </c>
      <c r="J134" s="34">
        <f t="shared" si="29"/>
        <v>0</v>
      </c>
      <c r="K134" s="625">
        <v>0</v>
      </c>
      <c r="L134" s="70">
        <v>0</v>
      </c>
      <c r="M134" s="70">
        <v>0</v>
      </c>
      <c r="N134" s="70">
        <v>0</v>
      </c>
      <c r="O134" s="70">
        <v>0</v>
      </c>
      <c r="P134" s="34">
        <v>0</v>
      </c>
      <c r="Q134" s="88">
        <v>0</v>
      </c>
      <c r="R134" s="70">
        <v>0</v>
      </c>
      <c r="S134" s="70">
        <v>0</v>
      </c>
      <c r="T134" s="70">
        <v>0</v>
      </c>
      <c r="U134" s="70">
        <v>0</v>
      </c>
      <c r="V134" s="70">
        <v>0</v>
      </c>
      <c r="W134" s="70">
        <v>0</v>
      </c>
      <c r="X134" s="70">
        <v>0</v>
      </c>
      <c r="Y134" s="70">
        <v>0</v>
      </c>
      <c r="Z134" s="70">
        <v>0</v>
      </c>
      <c r="AA134" s="70">
        <v>0</v>
      </c>
      <c r="AB134" s="34">
        <v>0</v>
      </c>
      <c r="AC134" s="88">
        <v>0</v>
      </c>
      <c r="AD134" s="70">
        <v>0</v>
      </c>
      <c r="AE134" s="70">
        <v>0</v>
      </c>
      <c r="AF134" s="70">
        <v>0</v>
      </c>
      <c r="AG134" s="70">
        <v>0</v>
      </c>
      <c r="AH134" s="70">
        <v>0</v>
      </c>
      <c r="AI134" s="70">
        <v>0</v>
      </c>
      <c r="AJ134" s="70">
        <v>0</v>
      </c>
      <c r="AK134" s="70">
        <v>0</v>
      </c>
      <c r="AL134" s="70">
        <v>0</v>
      </c>
      <c r="AM134" s="70">
        <v>0</v>
      </c>
      <c r="AN134" s="34">
        <v>0</v>
      </c>
      <c r="AO134" s="835" t="str">
        <f t="shared" si="25"/>
        <v>Si</v>
      </c>
      <c r="AP134" s="34">
        <f t="shared" si="26"/>
        <v>0</v>
      </c>
    </row>
    <row r="135" spans="2:42" x14ac:dyDescent="0.3">
      <c r="B135" s="30" t="s">
        <v>735</v>
      </c>
      <c r="C135" s="2" t="s">
        <v>736</v>
      </c>
      <c r="D135" s="56">
        <v>45762</v>
      </c>
      <c r="E135" s="56">
        <v>45792</v>
      </c>
      <c r="F135" s="41">
        <f t="shared" si="30"/>
        <v>30</v>
      </c>
      <c r="G135" s="41" t="s">
        <v>733</v>
      </c>
      <c r="H135" s="41" t="s">
        <v>737</v>
      </c>
      <c r="I135" s="70">
        <v>0</v>
      </c>
      <c r="J135" s="34">
        <f t="shared" si="29"/>
        <v>0</v>
      </c>
      <c r="K135" s="625">
        <v>0</v>
      </c>
      <c r="L135" s="70">
        <v>0</v>
      </c>
      <c r="M135" s="70">
        <v>0</v>
      </c>
      <c r="N135" s="70">
        <v>0</v>
      </c>
      <c r="O135" s="70">
        <v>0</v>
      </c>
      <c r="P135" s="34">
        <v>0</v>
      </c>
      <c r="Q135" s="88">
        <v>0</v>
      </c>
      <c r="R135" s="70">
        <v>0</v>
      </c>
      <c r="S135" s="70">
        <v>0</v>
      </c>
      <c r="T135" s="70">
        <v>0</v>
      </c>
      <c r="U135" s="70">
        <v>0</v>
      </c>
      <c r="V135" s="70">
        <v>0</v>
      </c>
      <c r="W135" s="70">
        <v>0</v>
      </c>
      <c r="X135" s="70">
        <v>0</v>
      </c>
      <c r="Y135" s="70">
        <v>0</v>
      </c>
      <c r="Z135" s="70">
        <v>0</v>
      </c>
      <c r="AA135" s="70">
        <v>0</v>
      </c>
      <c r="AB135" s="34">
        <v>0</v>
      </c>
      <c r="AC135" s="88">
        <v>0</v>
      </c>
      <c r="AD135" s="70">
        <v>0</v>
      </c>
      <c r="AE135" s="70">
        <v>0</v>
      </c>
      <c r="AF135" s="70">
        <v>0</v>
      </c>
      <c r="AG135" s="70">
        <v>0</v>
      </c>
      <c r="AH135" s="70">
        <v>0</v>
      </c>
      <c r="AI135" s="70">
        <v>0</v>
      </c>
      <c r="AJ135" s="70">
        <v>0</v>
      </c>
      <c r="AK135" s="70">
        <v>0</v>
      </c>
      <c r="AL135" s="70">
        <v>0</v>
      </c>
      <c r="AM135" s="70">
        <v>0</v>
      </c>
      <c r="AN135" s="34">
        <v>0</v>
      </c>
      <c r="AO135" s="835" t="str">
        <f t="shared" si="25"/>
        <v>Si</v>
      </c>
      <c r="AP135" s="34">
        <f t="shared" si="26"/>
        <v>0</v>
      </c>
    </row>
    <row r="136" spans="2:42" x14ac:dyDescent="0.3">
      <c r="B136" s="30" t="s">
        <v>737</v>
      </c>
      <c r="C136" s="2" t="s">
        <v>738</v>
      </c>
      <c r="D136" s="56">
        <v>45823</v>
      </c>
      <c r="E136" s="56">
        <v>45853</v>
      </c>
      <c r="F136" s="41">
        <f t="shared" si="30"/>
        <v>30</v>
      </c>
      <c r="G136" s="41" t="s">
        <v>735</v>
      </c>
      <c r="H136" s="41" t="s">
        <v>739</v>
      </c>
      <c r="I136" s="70">
        <v>0</v>
      </c>
      <c r="J136" s="34">
        <f t="shared" si="29"/>
        <v>0</v>
      </c>
      <c r="K136" s="625">
        <v>0</v>
      </c>
      <c r="L136" s="70">
        <v>0</v>
      </c>
      <c r="M136" s="70">
        <v>0</v>
      </c>
      <c r="N136" s="70">
        <v>0</v>
      </c>
      <c r="O136" s="70">
        <v>0</v>
      </c>
      <c r="P136" s="34">
        <v>0</v>
      </c>
      <c r="Q136" s="88">
        <v>0</v>
      </c>
      <c r="R136" s="70">
        <v>0</v>
      </c>
      <c r="S136" s="70">
        <v>0</v>
      </c>
      <c r="T136" s="70">
        <v>0</v>
      </c>
      <c r="U136" s="70">
        <v>0</v>
      </c>
      <c r="V136" s="70">
        <v>0</v>
      </c>
      <c r="W136" s="70">
        <v>0</v>
      </c>
      <c r="X136" s="70">
        <v>0</v>
      </c>
      <c r="Y136" s="70">
        <v>0</v>
      </c>
      <c r="Z136" s="70">
        <v>0</v>
      </c>
      <c r="AA136" s="70">
        <v>0</v>
      </c>
      <c r="AB136" s="34">
        <v>0</v>
      </c>
      <c r="AC136" s="88">
        <v>0</v>
      </c>
      <c r="AD136" s="70">
        <v>0</v>
      </c>
      <c r="AE136" s="70">
        <v>0</v>
      </c>
      <c r="AF136" s="70">
        <v>0</v>
      </c>
      <c r="AG136" s="70">
        <v>0</v>
      </c>
      <c r="AH136" s="70">
        <v>0</v>
      </c>
      <c r="AI136" s="70">
        <v>0</v>
      </c>
      <c r="AJ136" s="70">
        <v>0</v>
      </c>
      <c r="AK136" s="70">
        <v>0</v>
      </c>
      <c r="AL136" s="70">
        <v>0</v>
      </c>
      <c r="AM136" s="70">
        <v>0</v>
      </c>
      <c r="AN136" s="34">
        <v>0</v>
      </c>
      <c r="AO136" s="835" t="str">
        <f t="shared" si="25"/>
        <v>Si</v>
      </c>
      <c r="AP136" s="34">
        <f t="shared" si="26"/>
        <v>0</v>
      </c>
    </row>
    <row r="137" spans="2:42" x14ac:dyDescent="0.3">
      <c r="B137" s="30" t="s">
        <v>739</v>
      </c>
      <c r="C137" s="2" t="s">
        <v>740</v>
      </c>
      <c r="D137" s="56">
        <v>45884</v>
      </c>
      <c r="E137" s="56">
        <v>45915</v>
      </c>
      <c r="F137" s="41">
        <f t="shared" si="30"/>
        <v>31</v>
      </c>
      <c r="G137" s="41" t="s">
        <v>737</v>
      </c>
      <c r="H137" s="41" t="s">
        <v>116</v>
      </c>
      <c r="I137" s="70">
        <v>0</v>
      </c>
      <c r="J137" s="34">
        <f t="shared" si="29"/>
        <v>0</v>
      </c>
      <c r="K137" s="625">
        <v>0</v>
      </c>
      <c r="L137" s="70">
        <v>0</v>
      </c>
      <c r="M137" s="70">
        <v>0</v>
      </c>
      <c r="N137" s="70">
        <v>0</v>
      </c>
      <c r="O137" s="70">
        <v>0</v>
      </c>
      <c r="P137" s="34">
        <v>0</v>
      </c>
      <c r="Q137" s="88">
        <v>0</v>
      </c>
      <c r="R137" s="70">
        <v>0</v>
      </c>
      <c r="S137" s="70">
        <v>0</v>
      </c>
      <c r="T137" s="70">
        <v>0</v>
      </c>
      <c r="U137" s="70">
        <v>0</v>
      </c>
      <c r="V137" s="70">
        <v>0</v>
      </c>
      <c r="W137" s="70">
        <v>0</v>
      </c>
      <c r="X137" s="70">
        <v>0</v>
      </c>
      <c r="Y137" s="70">
        <v>0</v>
      </c>
      <c r="Z137" s="70">
        <v>0</v>
      </c>
      <c r="AA137" s="70">
        <v>0</v>
      </c>
      <c r="AB137" s="34">
        <v>0</v>
      </c>
      <c r="AC137" s="88">
        <v>0</v>
      </c>
      <c r="AD137" s="70">
        <v>0</v>
      </c>
      <c r="AE137" s="70">
        <v>0</v>
      </c>
      <c r="AF137" s="70">
        <v>0</v>
      </c>
      <c r="AG137" s="70">
        <v>0</v>
      </c>
      <c r="AH137" s="70">
        <v>0</v>
      </c>
      <c r="AI137" s="70">
        <v>0</v>
      </c>
      <c r="AJ137" s="70">
        <v>0</v>
      </c>
      <c r="AK137" s="70">
        <v>0</v>
      </c>
      <c r="AL137" s="70">
        <v>0</v>
      </c>
      <c r="AM137" s="70">
        <v>0</v>
      </c>
      <c r="AN137" s="34">
        <v>0</v>
      </c>
      <c r="AO137" s="835" t="str">
        <f t="shared" si="25"/>
        <v>Si</v>
      </c>
      <c r="AP137" s="34">
        <f t="shared" si="26"/>
        <v>0</v>
      </c>
    </row>
    <row r="138" spans="2:42" x14ac:dyDescent="0.3">
      <c r="B138" s="30" t="s">
        <v>116</v>
      </c>
      <c r="C138" s="2" t="s">
        <v>117</v>
      </c>
      <c r="D138" s="56">
        <v>45915</v>
      </c>
      <c r="E138" s="56">
        <v>46055</v>
      </c>
      <c r="F138" s="41">
        <f t="shared" si="30"/>
        <v>140</v>
      </c>
      <c r="G138" s="41" t="s">
        <v>739</v>
      </c>
      <c r="H138" s="41" t="s">
        <v>741</v>
      </c>
      <c r="I138" s="70">
        <v>11953750</v>
      </c>
      <c r="J138" s="34">
        <v>182500</v>
      </c>
      <c r="K138" s="625">
        <v>0</v>
      </c>
      <c r="L138" s="70">
        <v>0</v>
      </c>
      <c r="M138" s="70">
        <v>0</v>
      </c>
      <c r="N138" s="70">
        <v>0</v>
      </c>
      <c r="O138" s="70">
        <v>0</v>
      </c>
      <c r="P138" s="34">
        <v>0</v>
      </c>
      <c r="Q138" s="88">
        <v>0</v>
      </c>
      <c r="R138" s="70">
        <v>0</v>
      </c>
      <c r="S138" s="70">
        <v>4200</v>
      </c>
      <c r="T138" s="70">
        <v>8414.2857142857138</v>
      </c>
      <c r="U138" s="70">
        <v>12414.285714285714</v>
      </c>
      <c r="V138" s="70">
        <v>13414.285714285714</v>
      </c>
      <c r="W138" s="70">
        <v>8414.2857142857138</v>
      </c>
      <c r="X138" s="743">
        <v>23814.285714285714</v>
      </c>
      <c r="Y138" s="743">
        <v>8414.2857142857138</v>
      </c>
      <c r="Z138" s="70">
        <v>8414.2857142857138</v>
      </c>
      <c r="AA138" s="70">
        <v>15000</v>
      </c>
      <c r="AB138" s="34">
        <v>4200</v>
      </c>
      <c r="AC138" s="88">
        <v>9428.5714285714294</v>
      </c>
      <c r="AD138" s="70">
        <v>15085.714285714286</v>
      </c>
      <c r="AE138" s="70">
        <v>8285.7142857142862</v>
      </c>
      <c r="AF138" s="70">
        <v>8285.7142857142862</v>
      </c>
      <c r="AG138" s="70">
        <v>8285.7142857142862</v>
      </c>
      <c r="AH138" s="70">
        <v>8285.7142857142862</v>
      </c>
      <c r="AI138" s="70">
        <v>8285.7142857142862</v>
      </c>
      <c r="AJ138" s="70">
        <v>3857.1428571428569</v>
      </c>
      <c r="AK138" s="70">
        <v>3000</v>
      </c>
      <c r="AL138" s="70">
        <v>3000</v>
      </c>
      <c r="AM138" s="70">
        <v>0</v>
      </c>
      <c r="AN138" s="34">
        <v>0</v>
      </c>
      <c r="AO138" s="835" t="str">
        <f t="shared" si="25"/>
        <v>Si</v>
      </c>
      <c r="AP138" s="34">
        <f t="shared" si="26"/>
        <v>182500.00000000003</v>
      </c>
    </row>
    <row r="139" spans="2:42" x14ac:dyDescent="0.3">
      <c r="B139" s="30" t="s">
        <v>741</v>
      </c>
      <c r="C139" s="2" t="s">
        <v>742</v>
      </c>
      <c r="D139" s="56">
        <v>46056</v>
      </c>
      <c r="E139" s="56">
        <v>46082</v>
      </c>
      <c r="F139" s="41">
        <f t="shared" si="30"/>
        <v>26</v>
      </c>
      <c r="G139" s="41" t="s">
        <v>116</v>
      </c>
      <c r="H139" s="41" t="s">
        <v>743</v>
      </c>
      <c r="I139" s="70">
        <v>0</v>
      </c>
      <c r="J139" s="34">
        <v>0</v>
      </c>
      <c r="K139" s="625">
        <v>0</v>
      </c>
      <c r="L139" s="70">
        <v>0</v>
      </c>
      <c r="M139" s="70">
        <v>0</v>
      </c>
      <c r="N139" s="70">
        <v>0</v>
      </c>
      <c r="O139" s="70">
        <v>0</v>
      </c>
      <c r="P139" s="34">
        <v>0</v>
      </c>
      <c r="Q139" s="88">
        <v>0</v>
      </c>
      <c r="R139" s="70">
        <v>0</v>
      </c>
      <c r="S139" s="70">
        <v>0</v>
      </c>
      <c r="T139" s="70">
        <v>0</v>
      </c>
      <c r="U139" s="70">
        <v>0</v>
      </c>
      <c r="V139" s="70">
        <v>0</v>
      </c>
      <c r="W139" s="70">
        <v>0</v>
      </c>
      <c r="X139" s="70">
        <v>0</v>
      </c>
      <c r="Y139" s="70">
        <v>0</v>
      </c>
      <c r="Z139" s="70">
        <v>0</v>
      </c>
      <c r="AA139" s="70">
        <v>0</v>
      </c>
      <c r="AB139" s="34">
        <v>0</v>
      </c>
      <c r="AC139" s="88">
        <v>0</v>
      </c>
      <c r="AD139" s="70">
        <v>0</v>
      </c>
      <c r="AE139" s="70">
        <v>0</v>
      </c>
      <c r="AF139" s="70">
        <v>0</v>
      </c>
      <c r="AG139" s="70">
        <v>0</v>
      </c>
      <c r="AH139" s="70">
        <v>0</v>
      </c>
      <c r="AI139" s="70">
        <v>0</v>
      </c>
      <c r="AJ139" s="70">
        <v>0</v>
      </c>
      <c r="AK139" s="70">
        <v>0</v>
      </c>
      <c r="AL139" s="70">
        <v>0</v>
      </c>
      <c r="AM139" s="70">
        <v>0</v>
      </c>
      <c r="AN139" s="34">
        <v>0</v>
      </c>
      <c r="AO139" s="835" t="str">
        <f t="shared" si="25"/>
        <v>Si</v>
      </c>
      <c r="AP139" s="34">
        <f t="shared" si="26"/>
        <v>0</v>
      </c>
    </row>
    <row r="140" spans="2:42" x14ac:dyDescent="0.3">
      <c r="B140" s="30" t="s">
        <v>743</v>
      </c>
      <c r="C140" s="2" t="s">
        <v>744</v>
      </c>
      <c r="D140" s="56">
        <v>46083</v>
      </c>
      <c r="E140" s="56">
        <v>46509</v>
      </c>
      <c r="F140" s="41">
        <f t="shared" si="30"/>
        <v>426</v>
      </c>
      <c r="G140" s="41" t="s">
        <v>741</v>
      </c>
      <c r="H140" s="41" t="s">
        <v>745</v>
      </c>
      <c r="I140" s="70">
        <v>0</v>
      </c>
      <c r="J140" s="34">
        <f t="shared" si="29"/>
        <v>0</v>
      </c>
      <c r="K140" s="625">
        <v>0</v>
      </c>
      <c r="L140" s="70">
        <v>0</v>
      </c>
      <c r="M140" s="70">
        <v>0</v>
      </c>
      <c r="N140" s="70">
        <v>0</v>
      </c>
      <c r="O140" s="70">
        <v>0</v>
      </c>
      <c r="P140" s="34">
        <v>0</v>
      </c>
      <c r="Q140" s="88">
        <v>0</v>
      </c>
      <c r="R140" s="70">
        <v>0</v>
      </c>
      <c r="S140" s="70">
        <v>0</v>
      </c>
      <c r="T140" s="70">
        <v>0</v>
      </c>
      <c r="U140" s="70">
        <v>0</v>
      </c>
      <c r="V140" s="70">
        <v>0</v>
      </c>
      <c r="W140" s="70">
        <v>0</v>
      </c>
      <c r="X140" s="70">
        <v>0</v>
      </c>
      <c r="Y140" s="70">
        <v>0</v>
      </c>
      <c r="Z140" s="70">
        <v>0</v>
      </c>
      <c r="AA140" s="70">
        <v>0</v>
      </c>
      <c r="AB140" s="34">
        <v>0</v>
      </c>
      <c r="AC140" s="88">
        <v>0</v>
      </c>
      <c r="AD140" s="70">
        <v>0</v>
      </c>
      <c r="AE140" s="70">
        <v>0</v>
      </c>
      <c r="AF140" s="70">
        <v>0</v>
      </c>
      <c r="AG140" s="70">
        <v>0</v>
      </c>
      <c r="AH140" s="70">
        <v>0</v>
      </c>
      <c r="AI140" s="70">
        <v>0</v>
      </c>
      <c r="AJ140" s="70">
        <v>0</v>
      </c>
      <c r="AK140" s="70">
        <v>0</v>
      </c>
      <c r="AL140" s="70">
        <v>0</v>
      </c>
      <c r="AM140" s="70">
        <v>0</v>
      </c>
      <c r="AN140" s="34">
        <v>0</v>
      </c>
      <c r="AO140" s="835" t="str">
        <f t="shared" si="25"/>
        <v>Si</v>
      </c>
      <c r="AP140" s="34">
        <f t="shared" si="26"/>
        <v>0</v>
      </c>
    </row>
    <row r="141" spans="2:42" x14ac:dyDescent="0.3">
      <c r="B141" s="30" t="s">
        <v>745</v>
      </c>
      <c r="C141" s="2" t="s">
        <v>746</v>
      </c>
      <c r="D141" s="56">
        <v>46083</v>
      </c>
      <c r="E141" s="56">
        <v>46509</v>
      </c>
      <c r="F141" s="41">
        <f t="shared" si="30"/>
        <v>426</v>
      </c>
      <c r="G141" s="41" t="s">
        <v>741</v>
      </c>
      <c r="H141" s="41" t="s">
        <v>745</v>
      </c>
      <c r="I141" s="70">
        <v>0</v>
      </c>
      <c r="J141" s="34">
        <f t="shared" si="29"/>
        <v>0</v>
      </c>
      <c r="K141" s="625">
        <v>0</v>
      </c>
      <c r="L141" s="70">
        <v>0</v>
      </c>
      <c r="M141" s="70">
        <v>0</v>
      </c>
      <c r="N141" s="70">
        <v>0</v>
      </c>
      <c r="O141" s="70">
        <v>0</v>
      </c>
      <c r="P141" s="34">
        <v>0</v>
      </c>
      <c r="Q141" s="88">
        <v>0</v>
      </c>
      <c r="R141" s="70">
        <v>0</v>
      </c>
      <c r="S141" s="70">
        <v>0</v>
      </c>
      <c r="T141" s="70">
        <v>0</v>
      </c>
      <c r="U141" s="70">
        <v>0</v>
      </c>
      <c r="V141" s="70">
        <v>0</v>
      </c>
      <c r="W141" s="70">
        <v>0</v>
      </c>
      <c r="X141" s="70">
        <v>0</v>
      </c>
      <c r="Y141" s="70">
        <v>0</v>
      </c>
      <c r="Z141" s="70">
        <v>0</v>
      </c>
      <c r="AA141" s="70">
        <v>0</v>
      </c>
      <c r="AB141" s="34">
        <v>0</v>
      </c>
      <c r="AC141" s="88">
        <v>0</v>
      </c>
      <c r="AD141" s="70">
        <v>0</v>
      </c>
      <c r="AE141" s="70">
        <v>0</v>
      </c>
      <c r="AF141" s="70">
        <v>0</v>
      </c>
      <c r="AG141" s="70">
        <v>0</v>
      </c>
      <c r="AH141" s="70">
        <v>0</v>
      </c>
      <c r="AI141" s="70">
        <v>0</v>
      </c>
      <c r="AJ141" s="70">
        <v>0</v>
      </c>
      <c r="AK141" s="70">
        <v>0</v>
      </c>
      <c r="AL141" s="70">
        <v>0</v>
      </c>
      <c r="AM141" s="70">
        <v>0</v>
      </c>
      <c r="AN141" s="34">
        <v>0</v>
      </c>
      <c r="AO141" s="835" t="str">
        <f t="shared" si="25"/>
        <v>Si</v>
      </c>
      <c r="AP141" s="34">
        <f t="shared" si="26"/>
        <v>0</v>
      </c>
    </row>
    <row r="142" spans="2:42" x14ac:dyDescent="0.3">
      <c r="B142" s="30" t="s">
        <v>747</v>
      </c>
      <c r="C142" s="2" t="s">
        <v>748</v>
      </c>
      <c r="D142" s="56">
        <v>46083</v>
      </c>
      <c r="E142" s="56">
        <v>46509</v>
      </c>
      <c r="F142" s="41">
        <f t="shared" si="30"/>
        <v>426</v>
      </c>
      <c r="G142" s="41" t="s">
        <v>741</v>
      </c>
      <c r="H142" s="41" t="s">
        <v>745</v>
      </c>
      <c r="I142" s="70">
        <v>0</v>
      </c>
      <c r="J142" s="34">
        <f t="shared" si="29"/>
        <v>0</v>
      </c>
      <c r="K142" s="625">
        <v>0</v>
      </c>
      <c r="L142" s="70">
        <v>0</v>
      </c>
      <c r="M142" s="70">
        <v>0</v>
      </c>
      <c r="N142" s="70">
        <v>0</v>
      </c>
      <c r="O142" s="70">
        <v>0</v>
      </c>
      <c r="P142" s="34">
        <v>0</v>
      </c>
      <c r="Q142" s="88">
        <v>0</v>
      </c>
      <c r="R142" s="70">
        <v>0</v>
      </c>
      <c r="S142" s="70">
        <v>0</v>
      </c>
      <c r="T142" s="70">
        <v>0</v>
      </c>
      <c r="U142" s="70">
        <v>0</v>
      </c>
      <c r="V142" s="70">
        <v>0</v>
      </c>
      <c r="W142" s="70">
        <v>0</v>
      </c>
      <c r="X142" s="70">
        <v>0</v>
      </c>
      <c r="Y142" s="70">
        <v>0</v>
      </c>
      <c r="Z142" s="70">
        <v>0</v>
      </c>
      <c r="AA142" s="70">
        <v>0</v>
      </c>
      <c r="AB142" s="34">
        <v>0</v>
      </c>
      <c r="AC142" s="88">
        <v>0</v>
      </c>
      <c r="AD142" s="70">
        <v>0</v>
      </c>
      <c r="AE142" s="70">
        <v>0</v>
      </c>
      <c r="AF142" s="70">
        <v>0</v>
      </c>
      <c r="AG142" s="70">
        <v>0</v>
      </c>
      <c r="AH142" s="70">
        <v>0</v>
      </c>
      <c r="AI142" s="70">
        <v>0</v>
      </c>
      <c r="AJ142" s="70">
        <v>0</v>
      </c>
      <c r="AK142" s="70">
        <v>0</v>
      </c>
      <c r="AL142" s="70">
        <v>0</v>
      </c>
      <c r="AM142" s="70">
        <v>0</v>
      </c>
      <c r="AN142" s="34">
        <v>0</v>
      </c>
      <c r="AO142" s="835" t="str">
        <f t="shared" si="25"/>
        <v>Si</v>
      </c>
      <c r="AP142" s="34">
        <f t="shared" si="26"/>
        <v>0</v>
      </c>
    </row>
    <row r="143" spans="2:42" x14ac:dyDescent="0.3">
      <c r="B143" s="30" t="s">
        <v>749</v>
      </c>
      <c r="C143" s="2" t="s">
        <v>750</v>
      </c>
      <c r="D143" s="56">
        <v>46083</v>
      </c>
      <c r="E143" s="56">
        <v>46509</v>
      </c>
      <c r="F143" s="41">
        <f t="shared" si="30"/>
        <v>426</v>
      </c>
      <c r="G143" s="41" t="s">
        <v>741</v>
      </c>
      <c r="H143" s="41" t="s">
        <v>745</v>
      </c>
      <c r="I143" s="70">
        <v>0</v>
      </c>
      <c r="J143" s="34">
        <f t="shared" si="29"/>
        <v>0</v>
      </c>
      <c r="K143" s="625">
        <v>0</v>
      </c>
      <c r="L143" s="70">
        <v>0</v>
      </c>
      <c r="M143" s="70">
        <v>0</v>
      </c>
      <c r="N143" s="70">
        <v>0</v>
      </c>
      <c r="O143" s="70">
        <v>0</v>
      </c>
      <c r="P143" s="34">
        <v>0</v>
      </c>
      <c r="Q143" s="88">
        <v>0</v>
      </c>
      <c r="R143" s="70">
        <v>0</v>
      </c>
      <c r="S143" s="70">
        <v>0</v>
      </c>
      <c r="T143" s="70">
        <v>0</v>
      </c>
      <c r="U143" s="70">
        <v>0</v>
      </c>
      <c r="V143" s="70">
        <v>0</v>
      </c>
      <c r="W143" s="70">
        <v>0</v>
      </c>
      <c r="X143" s="70">
        <v>0</v>
      </c>
      <c r="Y143" s="70">
        <v>0</v>
      </c>
      <c r="Z143" s="70">
        <v>0</v>
      </c>
      <c r="AA143" s="70">
        <v>0</v>
      </c>
      <c r="AB143" s="34">
        <v>0</v>
      </c>
      <c r="AC143" s="88">
        <v>0</v>
      </c>
      <c r="AD143" s="70">
        <v>0</v>
      </c>
      <c r="AE143" s="70">
        <v>0</v>
      </c>
      <c r="AF143" s="70">
        <v>0</v>
      </c>
      <c r="AG143" s="70">
        <v>0</v>
      </c>
      <c r="AH143" s="70">
        <v>0</v>
      </c>
      <c r="AI143" s="70">
        <v>0</v>
      </c>
      <c r="AJ143" s="70">
        <v>0</v>
      </c>
      <c r="AK143" s="70">
        <v>0</v>
      </c>
      <c r="AL143" s="70">
        <v>0</v>
      </c>
      <c r="AM143" s="70">
        <v>0</v>
      </c>
      <c r="AN143" s="34">
        <v>0</v>
      </c>
      <c r="AO143" s="835" t="str">
        <f t="shared" ref="AO143:AO182" si="45">IF(SUM(K143:AN143)=J143,"Si","No")</f>
        <v>Si</v>
      </c>
      <c r="AP143" s="34">
        <f t="shared" si="26"/>
        <v>0</v>
      </c>
    </row>
    <row r="144" spans="2:42" x14ac:dyDescent="0.3">
      <c r="B144" s="30" t="s">
        <v>751</v>
      </c>
      <c r="C144" s="2" t="s">
        <v>752</v>
      </c>
      <c r="D144" s="56">
        <v>46510</v>
      </c>
      <c r="E144" s="56">
        <v>46541</v>
      </c>
      <c r="F144" s="41">
        <f t="shared" si="30"/>
        <v>31</v>
      </c>
      <c r="G144" s="41" t="s">
        <v>749</v>
      </c>
      <c r="H144" s="41" t="s">
        <v>491</v>
      </c>
      <c r="I144" s="70">
        <v>0</v>
      </c>
      <c r="J144" s="34">
        <f t="shared" si="29"/>
        <v>0</v>
      </c>
      <c r="K144" s="625">
        <v>0</v>
      </c>
      <c r="L144" s="70">
        <v>0</v>
      </c>
      <c r="M144" s="70">
        <v>0</v>
      </c>
      <c r="N144" s="70">
        <v>0</v>
      </c>
      <c r="O144" s="70">
        <v>0</v>
      </c>
      <c r="P144" s="34">
        <v>0</v>
      </c>
      <c r="Q144" s="88">
        <v>0</v>
      </c>
      <c r="R144" s="70">
        <v>0</v>
      </c>
      <c r="S144" s="70">
        <v>0</v>
      </c>
      <c r="T144" s="70">
        <v>0</v>
      </c>
      <c r="U144" s="70">
        <v>0</v>
      </c>
      <c r="V144" s="70">
        <v>0</v>
      </c>
      <c r="W144" s="70">
        <v>0</v>
      </c>
      <c r="X144" s="70">
        <v>0</v>
      </c>
      <c r="Y144" s="70">
        <v>0</v>
      </c>
      <c r="Z144" s="70">
        <v>0</v>
      </c>
      <c r="AA144" s="70">
        <v>0</v>
      </c>
      <c r="AB144" s="34">
        <v>0</v>
      </c>
      <c r="AC144" s="88">
        <v>0</v>
      </c>
      <c r="AD144" s="70">
        <v>0</v>
      </c>
      <c r="AE144" s="70">
        <v>0</v>
      </c>
      <c r="AF144" s="70">
        <v>0</v>
      </c>
      <c r="AG144" s="70">
        <v>0</v>
      </c>
      <c r="AH144" s="70">
        <v>0</v>
      </c>
      <c r="AI144" s="70">
        <v>0</v>
      </c>
      <c r="AJ144" s="70">
        <v>0</v>
      </c>
      <c r="AK144" s="70">
        <v>0</v>
      </c>
      <c r="AL144" s="70">
        <v>0</v>
      </c>
      <c r="AM144" s="70">
        <v>0</v>
      </c>
      <c r="AN144" s="34">
        <v>0</v>
      </c>
      <c r="AO144" s="835" t="str">
        <f t="shared" si="45"/>
        <v>Si</v>
      </c>
      <c r="AP144" s="34">
        <f t="shared" ref="AP144:AP195" si="46">+SUM(Q144:AN144)</f>
        <v>0</v>
      </c>
    </row>
    <row r="145" spans="2:42" x14ac:dyDescent="0.3">
      <c r="B145" s="29" t="s">
        <v>134</v>
      </c>
      <c r="C145" s="19" t="s">
        <v>135</v>
      </c>
      <c r="D145" s="55">
        <v>45839</v>
      </c>
      <c r="E145" s="55">
        <v>46568</v>
      </c>
      <c r="F145" s="39">
        <f t="shared" si="30"/>
        <v>729</v>
      </c>
      <c r="G145" s="39" t="s">
        <v>490</v>
      </c>
      <c r="H145" s="39" t="s">
        <v>491</v>
      </c>
      <c r="I145" s="392">
        <f>1030155.99*65.5</f>
        <v>67475217.344999999</v>
      </c>
      <c r="J145" s="32">
        <f>+I145/$J$13</f>
        <v>1030155.99</v>
      </c>
      <c r="K145" s="564">
        <f t="shared" ref="K145:P145" si="47">+SUM(K146,K151)</f>
        <v>0</v>
      </c>
      <c r="L145" s="64">
        <f t="shared" si="47"/>
        <v>0</v>
      </c>
      <c r="M145" s="64">
        <f t="shared" si="47"/>
        <v>0</v>
      </c>
      <c r="N145" s="64">
        <f t="shared" si="47"/>
        <v>0</v>
      </c>
      <c r="O145" s="64">
        <f t="shared" si="47"/>
        <v>0</v>
      </c>
      <c r="P145" s="32">
        <f t="shared" si="47"/>
        <v>0</v>
      </c>
      <c r="Q145" s="83">
        <f>+SUM(Q146,Q151)+6246.39529411765</f>
        <v>8246.3952941176503</v>
      </c>
      <c r="R145" s="64">
        <f>+SUM(R146,R151)+6246.39529411765</f>
        <v>6246.3952941176503</v>
      </c>
      <c r="S145" s="64">
        <f>+SUM(S146,S151)+6246.39529411765</f>
        <v>6246.3952941176503</v>
      </c>
      <c r="T145" s="64">
        <f t="shared" ref="T145:AE145" si="48">+T146+T151+6246.39529411765</f>
        <v>36246.395294117654</v>
      </c>
      <c r="U145" s="64">
        <f t="shared" si="48"/>
        <v>6246.3952941176503</v>
      </c>
      <c r="V145" s="64">
        <f t="shared" si="48"/>
        <v>43746.395294117654</v>
      </c>
      <c r="W145" s="64">
        <f t="shared" si="48"/>
        <v>9246.3952941176503</v>
      </c>
      <c r="X145" s="64">
        <f t="shared" si="48"/>
        <v>58746.395294117654</v>
      </c>
      <c r="Y145" s="64">
        <f t="shared" si="48"/>
        <v>6246.3952941176503</v>
      </c>
      <c r="Z145" s="64">
        <f t="shared" si="48"/>
        <v>81246.395294117654</v>
      </c>
      <c r="AA145" s="64">
        <f t="shared" si="48"/>
        <v>6246.3952941176503</v>
      </c>
      <c r="AB145" s="32">
        <f t="shared" si="48"/>
        <v>22246.39529411765</v>
      </c>
      <c r="AC145" s="83">
        <f t="shared" si="48"/>
        <v>216174.9667226891</v>
      </c>
      <c r="AD145" s="64">
        <f t="shared" si="48"/>
        <v>45174.966722689074</v>
      </c>
      <c r="AE145" s="64">
        <f t="shared" si="48"/>
        <v>45174.966722689074</v>
      </c>
      <c r="AF145" s="64">
        <f>+AF146+6246.39529411765+AF151</f>
        <v>120174.96672268909</v>
      </c>
      <c r="AG145" s="64">
        <f>+AG146+AG151+6246.39529411765</f>
        <v>150174.9667226891</v>
      </c>
      <c r="AH145" s="64">
        <f>+AH146+AH151+4193.45411764706</f>
        <v>57122.025546218487</v>
      </c>
      <c r="AI145" s="64">
        <f>+AI146+AI151+4193.45411764706</f>
        <v>68122.025546218487</v>
      </c>
      <c r="AJ145" s="64">
        <f>+AJ146+AJ151+4193.45411764706</f>
        <v>7693.4541176470602</v>
      </c>
      <c r="AK145" s="64">
        <f>+AK146+AK151+4193.45411764706</f>
        <v>7693.4541176470602</v>
      </c>
      <c r="AL145" s="64">
        <f>+AL146+AL151+4193.45411764706</f>
        <v>21693.454117647059</v>
      </c>
      <c r="AM145" s="64">
        <f>+SUM(AM146,AM151)</f>
        <v>0</v>
      </c>
      <c r="AN145" s="32">
        <f>+SUM(AN146,AN151)</f>
        <v>0</v>
      </c>
      <c r="AO145" s="832" t="str">
        <f t="shared" si="45"/>
        <v>No</v>
      </c>
      <c r="AP145" s="32">
        <f t="shared" si="46"/>
        <v>1030155.9905882353</v>
      </c>
    </row>
    <row r="146" spans="2:42" ht="28.8" x14ac:dyDescent="0.3">
      <c r="B146" s="30" t="s">
        <v>136</v>
      </c>
      <c r="C146" s="2" t="s">
        <v>137</v>
      </c>
      <c r="D146" s="56">
        <f>+D149</f>
        <v>45870</v>
      </c>
      <c r="E146" s="56">
        <f>+E147</f>
        <v>46142</v>
      </c>
      <c r="F146" s="41">
        <f t="shared" si="30"/>
        <v>272</v>
      </c>
      <c r="G146" s="41" t="s">
        <v>490</v>
      </c>
      <c r="H146" s="41" t="s">
        <v>146</v>
      </c>
      <c r="I146" s="70">
        <f>+SUM(I147:I150)</f>
        <v>655000</v>
      </c>
      <c r="J146" s="34">
        <f t="shared" si="29"/>
        <v>10000</v>
      </c>
      <c r="K146" s="625">
        <f>+SUM(K147:K150)</f>
        <v>0</v>
      </c>
      <c r="L146" s="70">
        <f t="shared" ref="L146:P146" si="49">+SUM(L147:L150)</f>
        <v>0</v>
      </c>
      <c r="M146" s="70">
        <f t="shared" si="49"/>
        <v>0</v>
      </c>
      <c r="N146" s="70">
        <f t="shared" si="49"/>
        <v>0</v>
      </c>
      <c r="O146" s="70">
        <f t="shared" si="49"/>
        <v>0</v>
      </c>
      <c r="P146" s="34">
        <f t="shared" si="49"/>
        <v>0</v>
      </c>
      <c r="Q146" s="88">
        <f>+SUM(Q147:Q150)</f>
        <v>2000</v>
      </c>
      <c r="R146" s="70">
        <f t="shared" ref="R146:AN146" si="50">+SUM(R147:R150)</f>
        <v>0</v>
      </c>
      <c r="S146" s="70">
        <f t="shared" si="50"/>
        <v>0</v>
      </c>
      <c r="T146" s="70">
        <f t="shared" si="50"/>
        <v>5000</v>
      </c>
      <c r="U146" s="70">
        <f t="shared" si="50"/>
        <v>0</v>
      </c>
      <c r="V146" s="70">
        <f t="shared" si="50"/>
        <v>0</v>
      </c>
      <c r="W146" s="70">
        <f t="shared" si="50"/>
        <v>3000</v>
      </c>
      <c r="X146" s="70">
        <f t="shared" si="50"/>
        <v>0</v>
      </c>
      <c r="Y146" s="70">
        <f t="shared" si="50"/>
        <v>0</v>
      </c>
      <c r="Z146" s="70">
        <f t="shared" si="50"/>
        <v>0</v>
      </c>
      <c r="AA146" s="70">
        <f t="shared" si="50"/>
        <v>0</v>
      </c>
      <c r="AB146" s="34">
        <f t="shared" si="50"/>
        <v>0</v>
      </c>
      <c r="AC146" s="88">
        <f t="shared" si="50"/>
        <v>0</v>
      </c>
      <c r="AD146" s="70">
        <f t="shared" si="50"/>
        <v>0</v>
      </c>
      <c r="AE146" s="70">
        <f t="shared" si="50"/>
        <v>0</v>
      </c>
      <c r="AF146" s="70">
        <f t="shared" si="50"/>
        <v>0</v>
      </c>
      <c r="AG146" s="70">
        <f t="shared" si="50"/>
        <v>0</v>
      </c>
      <c r="AH146" s="70">
        <f t="shared" si="50"/>
        <v>0</v>
      </c>
      <c r="AI146" s="70">
        <f t="shared" si="50"/>
        <v>0</v>
      </c>
      <c r="AJ146" s="70">
        <f t="shared" si="50"/>
        <v>0</v>
      </c>
      <c r="AK146" s="70">
        <f t="shared" si="50"/>
        <v>0</v>
      </c>
      <c r="AL146" s="70">
        <f t="shared" si="50"/>
        <v>0</v>
      </c>
      <c r="AM146" s="70">
        <f t="shared" si="50"/>
        <v>0</v>
      </c>
      <c r="AN146" s="34">
        <f t="shared" si="50"/>
        <v>0</v>
      </c>
      <c r="AO146" s="835" t="str">
        <f t="shared" si="45"/>
        <v>Si</v>
      </c>
      <c r="AP146" s="34">
        <f t="shared" si="46"/>
        <v>10000</v>
      </c>
    </row>
    <row r="147" spans="2:42" s="47" customFormat="1" x14ac:dyDescent="0.3">
      <c r="B147" s="43" t="s">
        <v>138</v>
      </c>
      <c r="C147" s="46" t="s">
        <v>139</v>
      </c>
      <c r="D147" s="49">
        <v>45884</v>
      </c>
      <c r="E147" s="49">
        <v>46142</v>
      </c>
      <c r="F147" s="44">
        <f t="shared" si="30"/>
        <v>258</v>
      </c>
      <c r="G147" s="44" t="s">
        <v>490</v>
      </c>
      <c r="H147" s="44" t="s">
        <v>753</v>
      </c>
      <c r="I147" s="66">
        <v>0</v>
      </c>
      <c r="J147" s="45">
        <f t="shared" si="29"/>
        <v>0</v>
      </c>
      <c r="K147" s="130">
        <v>0</v>
      </c>
      <c r="L147" s="66">
        <v>0</v>
      </c>
      <c r="M147" s="66">
        <v>0</v>
      </c>
      <c r="N147" s="66">
        <v>0</v>
      </c>
      <c r="O147" s="66">
        <v>0</v>
      </c>
      <c r="P147" s="45">
        <v>0</v>
      </c>
      <c r="Q147" s="85">
        <v>0</v>
      </c>
      <c r="R147" s="66">
        <v>0</v>
      </c>
      <c r="S147" s="66">
        <v>0</v>
      </c>
      <c r="T147" s="66">
        <v>0</v>
      </c>
      <c r="U147" s="66">
        <v>0</v>
      </c>
      <c r="V147" s="66">
        <v>0</v>
      </c>
      <c r="W147" s="66">
        <v>0</v>
      </c>
      <c r="X147" s="66">
        <v>0</v>
      </c>
      <c r="Y147" s="66">
        <v>0</v>
      </c>
      <c r="Z147" s="66">
        <v>0</v>
      </c>
      <c r="AA147" s="66">
        <v>0</v>
      </c>
      <c r="AB147" s="45">
        <v>0</v>
      </c>
      <c r="AC147" s="85">
        <v>0</v>
      </c>
      <c r="AD147" s="66">
        <v>0</v>
      </c>
      <c r="AE147" s="66">
        <v>0</v>
      </c>
      <c r="AF147" s="66">
        <v>0</v>
      </c>
      <c r="AG147" s="66">
        <v>0</v>
      </c>
      <c r="AH147" s="66">
        <v>0</v>
      </c>
      <c r="AI147" s="66">
        <v>0</v>
      </c>
      <c r="AJ147" s="66">
        <v>0</v>
      </c>
      <c r="AK147" s="66">
        <v>0</v>
      </c>
      <c r="AL147" s="66">
        <v>0</v>
      </c>
      <c r="AM147" s="66">
        <v>0</v>
      </c>
      <c r="AN147" s="45">
        <v>0</v>
      </c>
      <c r="AO147" s="834" t="str">
        <f t="shared" si="45"/>
        <v>Si</v>
      </c>
      <c r="AP147" s="45">
        <f t="shared" si="46"/>
        <v>0</v>
      </c>
    </row>
    <row r="148" spans="2:42" s="47" customFormat="1" x14ac:dyDescent="0.3">
      <c r="B148" s="43" t="s">
        <v>140</v>
      </c>
      <c r="C148" s="524" t="s">
        <v>141</v>
      </c>
      <c r="D148" s="49">
        <v>45884</v>
      </c>
      <c r="E148" s="36">
        <v>46053</v>
      </c>
      <c r="F148" s="44">
        <f t="shared" si="30"/>
        <v>169</v>
      </c>
      <c r="G148" s="44" t="s">
        <v>490</v>
      </c>
      <c r="H148" s="44" t="s">
        <v>154</v>
      </c>
      <c r="I148" s="66">
        <v>0</v>
      </c>
      <c r="J148" s="45">
        <f t="shared" si="29"/>
        <v>0</v>
      </c>
      <c r="K148" s="130">
        <v>0</v>
      </c>
      <c r="L148" s="66">
        <v>0</v>
      </c>
      <c r="M148" s="66">
        <v>0</v>
      </c>
      <c r="N148" s="66">
        <v>0</v>
      </c>
      <c r="O148" s="66">
        <v>0</v>
      </c>
      <c r="P148" s="45">
        <v>0</v>
      </c>
      <c r="Q148" s="85">
        <v>0</v>
      </c>
      <c r="R148" s="66">
        <v>0</v>
      </c>
      <c r="S148" s="66">
        <v>0</v>
      </c>
      <c r="T148" s="66">
        <v>0</v>
      </c>
      <c r="U148" s="66">
        <v>0</v>
      </c>
      <c r="V148" s="66">
        <v>0</v>
      </c>
      <c r="W148" s="66">
        <v>0</v>
      </c>
      <c r="X148" s="66">
        <v>0</v>
      </c>
      <c r="Y148" s="66">
        <v>0</v>
      </c>
      <c r="Z148" s="66">
        <v>0</v>
      </c>
      <c r="AA148" s="66">
        <v>0</v>
      </c>
      <c r="AB148" s="45">
        <v>0</v>
      </c>
      <c r="AC148" s="85">
        <v>0</v>
      </c>
      <c r="AD148" s="66">
        <v>0</v>
      </c>
      <c r="AE148" s="66">
        <v>0</v>
      </c>
      <c r="AF148" s="66">
        <v>0</v>
      </c>
      <c r="AG148" s="66">
        <v>0</v>
      </c>
      <c r="AH148" s="66">
        <v>0</v>
      </c>
      <c r="AI148" s="66">
        <v>0</v>
      </c>
      <c r="AJ148" s="66">
        <v>0</v>
      </c>
      <c r="AK148" s="66">
        <v>0</v>
      </c>
      <c r="AL148" s="66">
        <v>0</v>
      </c>
      <c r="AM148" s="66">
        <v>0</v>
      </c>
      <c r="AN148" s="45">
        <v>0</v>
      </c>
      <c r="AO148" s="834" t="str">
        <f t="shared" si="45"/>
        <v>Si</v>
      </c>
      <c r="AP148" s="45">
        <f t="shared" si="46"/>
        <v>0</v>
      </c>
    </row>
    <row r="149" spans="2:42" s="47" customFormat="1" ht="28.8" x14ac:dyDescent="0.3">
      <c r="B149" s="43" t="s">
        <v>142</v>
      </c>
      <c r="C149" s="46" t="s">
        <v>143</v>
      </c>
      <c r="D149" s="49">
        <v>45870</v>
      </c>
      <c r="E149" s="49">
        <v>46081</v>
      </c>
      <c r="F149" s="44">
        <f t="shared" si="30"/>
        <v>211</v>
      </c>
      <c r="G149" s="44" t="s">
        <v>490</v>
      </c>
      <c r="H149" s="145" t="s">
        <v>754</v>
      </c>
      <c r="I149" s="66">
        <v>0</v>
      </c>
      <c r="J149" s="45">
        <f t="shared" si="29"/>
        <v>0</v>
      </c>
      <c r="K149" s="130">
        <v>0</v>
      </c>
      <c r="L149" s="66">
        <v>0</v>
      </c>
      <c r="M149" s="66">
        <v>0</v>
      </c>
      <c r="N149" s="66">
        <v>0</v>
      </c>
      <c r="O149" s="66">
        <v>0</v>
      </c>
      <c r="P149" s="45">
        <v>0</v>
      </c>
      <c r="Q149" s="85">
        <v>0</v>
      </c>
      <c r="R149" s="66">
        <v>0</v>
      </c>
      <c r="S149" s="66">
        <v>0</v>
      </c>
      <c r="T149" s="66">
        <v>0</v>
      </c>
      <c r="U149" s="66">
        <v>0</v>
      </c>
      <c r="V149" s="66">
        <v>0</v>
      </c>
      <c r="W149" s="66">
        <v>0</v>
      </c>
      <c r="X149" s="66">
        <v>0</v>
      </c>
      <c r="Y149" s="66">
        <v>0</v>
      </c>
      <c r="Z149" s="66">
        <v>0</v>
      </c>
      <c r="AA149" s="66">
        <v>0</v>
      </c>
      <c r="AB149" s="45">
        <v>0</v>
      </c>
      <c r="AC149" s="85">
        <v>0</v>
      </c>
      <c r="AD149" s="66">
        <v>0</v>
      </c>
      <c r="AE149" s="66">
        <v>0</v>
      </c>
      <c r="AF149" s="66">
        <v>0</v>
      </c>
      <c r="AG149" s="66">
        <v>0</v>
      </c>
      <c r="AH149" s="66">
        <v>0</v>
      </c>
      <c r="AI149" s="66">
        <v>0</v>
      </c>
      <c r="AJ149" s="66">
        <v>0</v>
      </c>
      <c r="AK149" s="66">
        <v>0</v>
      </c>
      <c r="AL149" s="66">
        <v>0</v>
      </c>
      <c r="AM149" s="66">
        <v>0</v>
      </c>
      <c r="AN149" s="45">
        <v>0</v>
      </c>
      <c r="AO149" s="834" t="str">
        <f t="shared" si="45"/>
        <v>Si</v>
      </c>
      <c r="AP149" s="45">
        <f t="shared" si="46"/>
        <v>0</v>
      </c>
    </row>
    <row r="150" spans="2:42" s="47" customFormat="1" x14ac:dyDescent="0.3">
      <c r="B150" s="43" t="s">
        <v>144</v>
      </c>
      <c r="C150" s="524" t="s">
        <v>145</v>
      </c>
      <c r="D150" s="49">
        <v>46037</v>
      </c>
      <c r="E150" s="49">
        <v>46127</v>
      </c>
      <c r="F150" s="44">
        <f t="shared" si="30"/>
        <v>90</v>
      </c>
      <c r="G150" s="44" t="s">
        <v>490</v>
      </c>
      <c r="H150" s="145" t="s">
        <v>491</v>
      </c>
      <c r="I150" s="66">
        <v>655000</v>
      </c>
      <c r="J150" s="45">
        <f t="shared" si="29"/>
        <v>10000</v>
      </c>
      <c r="K150" s="130">
        <v>0</v>
      </c>
      <c r="L150" s="66">
        <v>0</v>
      </c>
      <c r="M150" s="66">
        <v>0</v>
      </c>
      <c r="N150" s="66">
        <v>0</v>
      </c>
      <c r="O150" s="66">
        <v>0</v>
      </c>
      <c r="P150" s="45">
        <v>0</v>
      </c>
      <c r="Q150" s="85">
        <v>2000</v>
      </c>
      <c r="R150" s="66">
        <v>0</v>
      </c>
      <c r="S150" s="66">
        <v>0</v>
      </c>
      <c r="T150" s="66">
        <v>5000</v>
      </c>
      <c r="U150" s="66">
        <v>0</v>
      </c>
      <c r="V150" s="66">
        <v>0</v>
      </c>
      <c r="W150" s="66">
        <v>3000</v>
      </c>
      <c r="X150" s="66">
        <v>0</v>
      </c>
      <c r="Y150" s="66">
        <v>0</v>
      </c>
      <c r="Z150" s="66"/>
      <c r="AA150" s="66">
        <v>0</v>
      </c>
      <c r="AB150" s="45">
        <v>0</v>
      </c>
      <c r="AC150" s="85">
        <v>0</v>
      </c>
      <c r="AD150" s="66">
        <v>0</v>
      </c>
      <c r="AE150" s="66">
        <v>0</v>
      </c>
      <c r="AF150" s="66">
        <v>0</v>
      </c>
      <c r="AG150" s="66">
        <v>0</v>
      </c>
      <c r="AH150" s="66">
        <v>0</v>
      </c>
      <c r="AI150" s="66">
        <v>0</v>
      </c>
      <c r="AJ150" s="66">
        <v>0</v>
      </c>
      <c r="AK150" s="66">
        <v>0</v>
      </c>
      <c r="AL150" s="66">
        <v>0</v>
      </c>
      <c r="AM150" s="66">
        <v>0</v>
      </c>
      <c r="AN150" s="45">
        <v>0</v>
      </c>
      <c r="AO150" s="834" t="str">
        <f t="shared" si="45"/>
        <v>Si</v>
      </c>
      <c r="AP150" s="45">
        <f t="shared" si="46"/>
        <v>10000</v>
      </c>
    </row>
    <row r="151" spans="2:42" ht="43.2" x14ac:dyDescent="0.3">
      <c r="B151" s="30" t="s">
        <v>146</v>
      </c>
      <c r="C151" s="2" t="s">
        <v>147</v>
      </c>
      <c r="D151" s="56">
        <f>+D155</f>
        <v>45839</v>
      </c>
      <c r="E151" s="56">
        <v>46553</v>
      </c>
      <c r="F151" s="41">
        <f t="shared" si="30"/>
        <v>714</v>
      </c>
      <c r="G151" s="41" t="s">
        <v>136</v>
      </c>
      <c r="H151" s="41" t="s">
        <v>491</v>
      </c>
      <c r="I151" s="80">
        <f>+SUM(I152:I159)</f>
        <v>58491500</v>
      </c>
      <c r="J151" s="34">
        <f>+I151/$J$13</f>
        <v>893000</v>
      </c>
      <c r="K151" s="625">
        <f t="shared" ref="K151:AH151" si="51">+SUM(K152:K159)</f>
        <v>0</v>
      </c>
      <c r="L151" s="70">
        <f t="shared" si="51"/>
        <v>0</v>
      </c>
      <c r="M151" s="70">
        <f t="shared" si="51"/>
        <v>0</v>
      </c>
      <c r="N151" s="70">
        <f t="shared" si="51"/>
        <v>0</v>
      </c>
      <c r="O151" s="70">
        <f t="shared" si="51"/>
        <v>0</v>
      </c>
      <c r="P151" s="34">
        <f t="shared" si="51"/>
        <v>0</v>
      </c>
      <c r="Q151" s="88">
        <f t="shared" si="51"/>
        <v>0</v>
      </c>
      <c r="R151" s="70">
        <f t="shared" si="51"/>
        <v>0</v>
      </c>
      <c r="S151" s="70">
        <f t="shared" si="51"/>
        <v>0</v>
      </c>
      <c r="T151" s="70">
        <f t="shared" si="51"/>
        <v>25000</v>
      </c>
      <c r="U151" s="70">
        <f t="shared" si="51"/>
        <v>0</v>
      </c>
      <c r="V151" s="70">
        <f t="shared" si="51"/>
        <v>37500</v>
      </c>
      <c r="W151" s="70">
        <f t="shared" si="51"/>
        <v>0</v>
      </c>
      <c r="X151" s="70">
        <f t="shared" si="51"/>
        <v>52500</v>
      </c>
      <c r="Y151" s="70">
        <f t="shared" si="51"/>
        <v>0</v>
      </c>
      <c r="Z151" s="70">
        <f t="shared" si="51"/>
        <v>75000</v>
      </c>
      <c r="AA151" s="70">
        <f t="shared" si="51"/>
        <v>0</v>
      </c>
      <c r="AB151" s="34">
        <f t="shared" si="51"/>
        <v>16000</v>
      </c>
      <c r="AC151" s="88">
        <f t="shared" si="51"/>
        <v>209928.57142857145</v>
      </c>
      <c r="AD151" s="70">
        <f t="shared" si="51"/>
        <v>38928.571428571428</v>
      </c>
      <c r="AE151" s="70">
        <f t="shared" si="51"/>
        <v>38928.571428571428</v>
      </c>
      <c r="AF151" s="70">
        <f t="shared" si="51"/>
        <v>113928.57142857143</v>
      </c>
      <c r="AG151" s="70">
        <f t="shared" si="51"/>
        <v>143928.57142857145</v>
      </c>
      <c r="AH151" s="70">
        <f t="shared" si="51"/>
        <v>52928.571428571428</v>
      </c>
      <c r="AI151" s="70">
        <f t="shared" ref="AI151:AN151" si="52">+SUM(AI152:AI159)</f>
        <v>63928.571428571428</v>
      </c>
      <c r="AJ151" s="70">
        <f t="shared" si="52"/>
        <v>3500</v>
      </c>
      <c r="AK151" s="70">
        <f t="shared" si="52"/>
        <v>3500</v>
      </c>
      <c r="AL151" s="70">
        <f t="shared" si="52"/>
        <v>17500</v>
      </c>
      <c r="AM151" s="70">
        <f t="shared" si="52"/>
        <v>0</v>
      </c>
      <c r="AN151" s="34">
        <f t="shared" si="52"/>
        <v>0</v>
      </c>
      <c r="AO151" s="835" t="str">
        <f>IF(SUM(K151:AN151)=J151,"Si","No")</f>
        <v>Si</v>
      </c>
      <c r="AP151" s="34">
        <f t="shared" si="46"/>
        <v>893000.00000000023</v>
      </c>
    </row>
    <row r="152" spans="2:42" s="47" customFormat="1" ht="28.8" x14ac:dyDescent="0.3">
      <c r="B152" s="43" t="s">
        <v>148</v>
      </c>
      <c r="C152" s="524" t="s">
        <v>149</v>
      </c>
      <c r="D152" s="49">
        <v>45839</v>
      </c>
      <c r="E152" s="49">
        <v>46553</v>
      </c>
      <c r="F152" s="44">
        <f t="shared" si="30"/>
        <v>714</v>
      </c>
      <c r="G152" s="44" t="s">
        <v>490</v>
      </c>
      <c r="H152" s="44" t="s">
        <v>491</v>
      </c>
      <c r="I152" s="66">
        <f>200000*65.5</f>
        <v>13100000</v>
      </c>
      <c r="J152" s="45">
        <f>+I152/$J$13</f>
        <v>200000</v>
      </c>
      <c r="K152" s="130">
        <v>0</v>
      </c>
      <c r="L152" s="66">
        <v>0</v>
      </c>
      <c r="M152" s="66">
        <v>0</v>
      </c>
      <c r="N152" s="66">
        <v>0</v>
      </c>
      <c r="O152" s="66">
        <v>0</v>
      </c>
      <c r="P152" s="45">
        <v>0</v>
      </c>
      <c r="Q152" s="85">
        <v>0</v>
      </c>
      <c r="R152" s="66">
        <v>0</v>
      </c>
      <c r="S152" s="66">
        <v>0</v>
      </c>
      <c r="T152" s="66">
        <v>0</v>
      </c>
      <c r="U152" s="66">
        <v>0</v>
      </c>
      <c r="V152" s="66">
        <v>0</v>
      </c>
      <c r="W152" s="66">
        <v>0</v>
      </c>
      <c r="X152" s="66">
        <v>0</v>
      </c>
      <c r="Y152" s="66">
        <v>0</v>
      </c>
      <c r="Z152" s="66">
        <v>0</v>
      </c>
      <c r="AA152" s="66">
        <v>0</v>
      </c>
      <c r="AB152" s="45">
        <v>0</v>
      </c>
      <c r="AC152" s="85">
        <v>28571.428571428572</v>
      </c>
      <c r="AD152" s="66">
        <v>28571.428571428572</v>
      </c>
      <c r="AE152" s="66">
        <v>28571.428571428572</v>
      </c>
      <c r="AF152" s="66">
        <v>28571.428571428572</v>
      </c>
      <c r="AG152" s="66">
        <v>28571.428571428572</v>
      </c>
      <c r="AH152" s="66">
        <v>28571.428571428572</v>
      </c>
      <c r="AI152" s="66">
        <v>28571.428571428572</v>
      </c>
      <c r="AJ152" s="66">
        <v>0</v>
      </c>
      <c r="AK152" s="66">
        <v>0</v>
      </c>
      <c r="AL152" s="66">
        <v>0</v>
      </c>
      <c r="AM152" s="66">
        <v>0</v>
      </c>
      <c r="AN152" s="45">
        <v>0</v>
      </c>
      <c r="AO152" s="834" t="str">
        <f t="shared" si="45"/>
        <v>Si</v>
      </c>
      <c r="AP152" s="45">
        <f t="shared" si="46"/>
        <v>200000.00000000003</v>
      </c>
    </row>
    <row r="153" spans="2:42" s="47" customFormat="1" ht="43.2" x14ac:dyDescent="0.3">
      <c r="B153" s="43" t="s">
        <v>150</v>
      </c>
      <c r="C153" s="394" t="s">
        <v>151</v>
      </c>
      <c r="D153" s="49">
        <v>45839</v>
      </c>
      <c r="E153" s="49">
        <v>46522</v>
      </c>
      <c r="F153" s="44">
        <f t="shared" si="30"/>
        <v>683</v>
      </c>
      <c r="G153" s="145" t="s">
        <v>755</v>
      </c>
      <c r="H153" s="44" t="s">
        <v>491</v>
      </c>
      <c r="I153" s="66">
        <f>485000*65.5</f>
        <v>31767500</v>
      </c>
      <c r="J153" s="45">
        <f t="shared" ref="J153:J159" si="53">+I153/$J$13</f>
        <v>485000</v>
      </c>
      <c r="K153" s="130">
        <v>0</v>
      </c>
      <c r="L153" s="66">
        <v>0</v>
      </c>
      <c r="M153" s="66">
        <v>0</v>
      </c>
      <c r="N153" s="66">
        <v>0</v>
      </c>
      <c r="O153" s="66">
        <v>0</v>
      </c>
      <c r="P153" s="45">
        <v>0</v>
      </c>
      <c r="Q153" s="85">
        <v>0</v>
      </c>
      <c r="R153" s="66">
        <v>0</v>
      </c>
      <c r="S153" s="66">
        <v>0</v>
      </c>
      <c r="T153" s="66">
        <v>0</v>
      </c>
      <c r="U153" s="66">
        <v>0</v>
      </c>
      <c r="V153" s="66">
        <v>0</v>
      </c>
      <c r="W153" s="66">
        <v>0</v>
      </c>
      <c r="X153" s="740">
        <v>15000</v>
      </c>
      <c r="Y153" s="66">
        <v>0</v>
      </c>
      <c r="Z153" s="740">
        <v>50000</v>
      </c>
      <c r="AA153" s="66">
        <v>0</v>
      </c>
      <c r="AB153" s="741">
        <v>16000</v>
      </c>
      <c r="AC153" s="742">
        <v>167500</v>
      </c>
      <c r="AD153" s="740">
        <v>3500</v>
      </c>
      <c r="AE153" s="740">
        <v>3500</v>
      </c>
      <c r="AF153" s="740">
        <v>78500</v>
      </c>
      <c r="AG153" s="740">
        <v>108500</v>
      </c>
      <c r="AH153" s="740">
        <v>3500</v>
      </c>
      <c r="AI153" s="740">
        <v>28500</v>
      </c>
      <c r="AJ153" s="66">
        <v>3500</v>
      </c>
      <c r="AK153" s="66">
        <v>3500</v>
      </c>
      <c r="AL153" s="66">
        <v>3500</v>
      </c>
      <c r="AM153" s="66">
        <v>0</v>
      </c>
      <c r="AN153" s="45">
        <v>0</v>
      </c>
      <c r="AO153" s="834" t="str">
        <f t="shared" si="45"/>
        <v>Si</v>
      </c>
      <c r="AP153" s="45">
        <f t="shared" si="46"/>
        <v>485000</v>
      </c>
    </row>
    <row r="154" spans="2:42" s="47" customFormat="1" ht="28.8" x14ac:dyDescent="0.3">
      <c r="B154" s="43" t="s">
        <v>152</v>
      </c>
      <c r="C154" s="394" t="s">
        <v>153</v>
      </c>
      <c r="D154" s="49">
        <v>45839</v>
      </c>
      <c r="E154" s="49">
        <v>46553</v>
      </c>
      <c r="F154" s="44">
        <f t="shared" ref="F154" si="54">ABS(+_xlfn.DAYS(D154,E154))</f>
        <v>714</v>
      </c>
      <c r="G154" s="44" t="str">
        <f>+B149</f>
        <v>1.2.2.1.3</v>
      </c>
      <c r="H154" s="44" t="s">
        <v>491</v>
      </c>
      <c r="I154" s="66">
        <f>125000*65.5</f>
        <v>8187500</v>
      </c>
      <c r="J154" s="45">
        <f t="shared" si="53"/>
        <v>125000</v>
      </c>
      <c r="K154" s="130">
        <v>0</v>
      </c>
      <c r="L154" s="66">
        <v>0</v>
      </c>
      <c r="M154" s="66">
        <v>0</v>
      </c>
      <c r="N154" s="66">
        <v>0</v>
      </c>
      <c r="O154" s="66">
        <v>0</v>
      </c>
      <c r="P154" s="45">
        <v>0</v>
      </c>
      <c r="Q154" s="85">
        <v>0</v>
      </c>
      <c r="R154" s="66">
        <v>0</v>
      </c>
      <c r="S154" s="66">
        <v>0</v>
      </c>
      <c r="T154" s="66">
        <v>25000</v>
      </c>
      <c r="U154" s="66">
        <v>0</v>
      </c>
      <c r="V154" s="66">
        <v>37500</v>
      </c>
      <c r="W154" s="66">
        <v>0</v>
      </c>
      <c r="X154" s="66">
        <v>37500</v>
      </c>
      <c r="Y154" s="66">
        <v>0</v>
      </c>
      <c r="Z154" s="66">
        <v>25000</v>
      </c>
      <c r="AA154" s="66">
        <v>0</v>
      </c>
      <c r="AB154" s="45">
        <v>0</v>
      </c>
      <c r="AC154" s="85">
        <v>0</v>
      </c>
      <c r="AD154" s="66">
        <v>0</v>
      </c>
      <c r="AE154" s="66">
        <v>0</v>
      </c>
      <c r="AF154" s="66">
        <v>0</v>
      </c>
      <c r="AG154" s="66">
        <v>0</v>
      </c>
      <c r="AH154" s="66">
        <v>0</v>
      </c>
      <c r="AI154" s="66">
        <v>0</v>
      </c>
      <c r="AJ154" s="66">
        <v>0</v>
      </c>
      <c r="AK154" s="66">
        <v>0</v>
      </c>
      <c r="AL154" s="66">
        <v>0</v>
      </c>
      <c r="AM154" s="66">
        <v>0</v>
      </c>
      <c r="AN154" s="45">
        <v>0</v>
      </c>
      <c r="AO154" s="834" t="str">
        <f t="shared" si="45"/>
        <v>Si</v>
      </c>
      <c r="AP154" s="45">
        <f t="shared" si="46"/>
        <v>125000</v>
      </c>
    </row>
    <row r="155" spans="2:42" s="47" customFormat="1" ht="28.8" x14ac:dyDescent="0.3">
      <c r="B155" s="43" t="s">
        <v>154</v>
      </c>
      <c r="C155" s="394" t="s">
        <v>155</v>
      </c>
      <c r="D155" s="49">
        <v>45839</v>
      </c>
      <c r="E155" s="49">
        <v>46537</v>
      </c>
      <c r="F155" s="44">
        <f t="shared" ref="F155:F194" si="55">ABS(+_xlfn.DAYS(D155,E155))</f>
        <v>698</v>
      </c>
      <c r="G155" s="44" t="s">
        <v>490</v>
      </c>
      <c r="H155" s="44" t="s">
        <v>491</v>
      </c>
      <c r="I155" s="66">
        <v>0</v>
      </c>
      <c r="J155" s="45">
        <f t="shared" si="53"/>
        <v>0</v>
      </c>
      <c r="K155" s="130">
        <v>0</v>
      </c>
      <c r="L155" s="66">
        <v>0</v>
      </c>
      <c r="M155" s="66">
        <v>0</v>
      </c>
      <c r="N155" s="66">
        <v>0</v>
      </c>
      <c r="O155" s="66">
        <v>0</v>
      </c>
      <c r="P155" s="45">
        <v>0</v>
      </c>
      <c r="Q155" s="85">
        <v>0</v>
      </c>
      <c r="R155" s="66">
        <v>0</v>
      </c>
      <c r="S155" s="66">
        <v>0</v>
      </c>
      <c r="T155" s="66">
        <v>0</v>
      </c>
      <c r="U155" s="66">
        <v>0</v>
      </c>
      <c r="V155" s="66">
        <v>0</v>
      </c>
      <c r="W155" s="66">
        <v>0</v>
      </c>
      <c r="X155" s="66">
        <v>0</v>
      </c>
      <c r="Y155" s="66">
        <v>0</v>
      </c>
      <c r="Z155" s="66">
        <v>0</v>
      </c>
      <c r="AA155" s="66">
        <v>0</v>
      </c>
      <c r="AB155" s="45">
        <v>0</v>
      </c>
      <c r="AC155" s="85">
        <v>0</v>
      </c>
      <c r="AD155" s="66">
        <v>0</v>
      </c>
      <c r="AE155" s="66">
        <v>0</v>
      </c>
      <c r="AF155" s="66">
        <v>0</v>
      </c>
      <c r="AG155" s="66">
        <v>0</v>
      </c>
      <c r="AH155" s="66">
        <v>0</v>
      </c>
      <c r="AI155" s="66">
        <v>0</v>
      </c>
      <c r="AJ155" s="66">
        <v>0</v>
      </c>
      <c r="AK155" s="66">
        <v>0</v>
      </c>
      <c r="AL155" s="66">
        <v>0</v>
      </c>
      <c r="AM155" s="66">
        <v>0</v>
      </c>
      <c r="AN155" s="45">
        <v>0</v>
      </c>
      <c r="AO155" s="834" t="str">
        <f t="shared" si="45"/>
        <v>Si</v>
      </c>
      <c r="AP155" s="45">
        <f t="shared" si="46"/>
        <v>0</v>
      </c>
    </row>
    <row r="156" spans="2:42" s="47" customFormat="1" ht="28.8" x14ac:dyDescent="0.3">
      <c r="B156" s="43" t="s">
        <v>156</v>
      </c>
      <c r="C156" s="394" t="s">
        <v>157</v>
      </c>
      <c r="D156" s="49">
        <v>45839</v>
      </c>
      <c r="E156" s="49">
        <v>46537</v>
      </c>
      <c r="F156" s="44">
        <v>90</v>
      </c>
      <c r="G156" s="44" t="s">
        <v>490</v>
      </c>
      <c r="H156" s="44" t="s">
        <v>491</v>
      </c>
      <c r="I156" s="66">
        <f>35000*65.5</f>
        <v>2292500</v>
      </c>
      <c r="J156" s="45">
        <f t="shared" si="53"/>
        <v>35000</v>
      </c>
      <c r="K156" s="130">
        <v>0</v>
      </c>
      <c r="L156" s="66">
        <v>0</v>
      </c>
      <c r="M156" s="66">
        <v>0</v>
      </c>
      <c r="N156" s="66">
        <v>0</v>
      </c>
      <c r="O156" s="66">
        <v>0</v>
      </c>
      <c r="P156" s="45">
        <v>0</v>
      </c>
      <c r="Q156" s="85">
        <v>0</v>
      </c>
      <c r="R156" s="66">
        <v>0</v>
      </c>
      <c r="S156" s="66">
        <v>0</v>
      </c>
      <c r="T156" s="66">
        <v>0</v>
      </c>
      <c r="U156" s="66">
        <v>0</v>
      </c>
      <c r="V156" s="66">
        <v>0</v>
      </c>
      <c r="W156" s="66">
        <v>0</v>
      </c>
      <c r="X156" s="66">
        <v>0</v>
      </c>
      <c r="Y156" s="66">
        <v>0</v>
      </c>
      <c r="Z156" s="66">
        <v>0</v>
      </c>
      <c r="AA156" s="66">
        <v>0</v>
      </c>
      <c r="AB156" s="45">
        <v>0</v>
      </c>
      <c r="AC156" s="85">
        <v>7000</v>
      </c>
      <c r="AD156" s="66">
        <v>0</v>
      </c>
      <c r="AE156" s="66">
        <v>0</v>
      </c>
      <c r="AF156" s="66">
        <v>0</v>
      </c>
      <c r="AG156" s="66">
        <v>0</v>
      </c>
      <c r="AH156" s="66">
        <v>14000</v>
      </c>
      <c r="AI156" s="66">
        <v>0</v>
      </c>
      <c r="AJ156" s="66">
        <v>0</v>
      </c>
      <c r="AK156" s="66">
        <v>0</v>
      </c>
      <c r="AL156" s="66">
        <v>14000</v>
      </c>
      <c r="AM156" s="66">
        <v>0</v>
      </c>
      <c r="AN156" s="45">
        <v>0</v>
      </c>
      <c r="AO156" s="834" t="str">
        <f t="shared" si="45"/>
        <v>Si</v>
      </c>
      <c r="AP156" s="45">
        <f t="shared" si="46"/>
        <v>35000</v>
      </c>
    </row>
    <row r="157" spans="2:42" s="47" customFormat="1" x14ac:dyDescent="0.3">
      <c r="B157" s="43" t="s">
        <v>158</v>
      </c>
      <c r="C157" s="394" t="s">
        <v>159</v>
      </c>
      <c r="D157" s="49">
        <v>45839</v>
      </c>
      <c r="E157" s="49">
        <v>46537</v>
      </c>
      <c r="F157" s="44">
        <v>90</v>
      </c>
      <c r="G157" s="44" t="s">
        <v>490</v>
      </c>
      <c r="H157" s="44" t="s">
        <v>491</v>
      </c>
      <c r="I157" s="66">
        <f>48000*65.5</f>
        <v>3144000</v>
      </c>
      <c r="J157" s="45">
        <f t="shared" si="53"/>
        <v>48000</v>
      </c>
      <c r="K157" s="130">
        <v>0</v>
      </c>
      <c r="L157" s="66">
        <v>0</v>
      </c>
      <c r="M157" s="66">
        <v>0</v>
      </c>
      <c r="N157" s="66">
        <v>0</v>
      </c>
      <c r="O157" s="66">
        <v>0</v>
      </c>
      <c r="P157" s="45">
        <v>0</v>
      </c>
      <c r="Q157" s="85">
        <v>0</v>
      </c>
      <c r="R157" s="66">
        <v>0</v>
      </c>
      <c r="S157" s="66">
        <v>0</v>
      </c>
      <c r="T157" s="66">
        <v>0</v>
      </c>
      <c r="U157" s="66">
        <v>0</v>
      </c>
      <c r="V157" s="66">
        <v>0</v>
      </c>
      <c r="W157" s="66">
        <v>0</v>
      </c>
      <c r="X157" s="66">
        <v>0</v>
      </c>
      <c r="Y157" s="66">
        <v>0</v>
      </c>
      <c r="Z157" s="66">
        <v>0</v>
      </c>
      <c r="AA157" s="66">
        <v>0</v>
      </c>
      <c r="AB157" s="45">
        <v>0</v>
      </c>
      <c r="AC157" s="85">
        <v>6857.1428571428569</v>
      </c>
      <c r="AD157" s="66">
        <v>6857.1428571428569</v>
      </c>
      <c r="AE157" s="66">
        <v>6857.1428571428569</v>
      </c>
      <c r="AF157" s="66">
        <v>6857.1428571428569</v>
      </c>
      <c r="AG157" s="66">
        <v>6857.1428571428569</v>
      </c>
      <c r="AH157" s="66">
        <v>6857.1428571428569</v>
      </c>
      <c r="AI157" s="66">
        <v>6857.1428571428569</v>
      </c>
      <c r="AJ157" s="66">
        <v>0</v>
      </c>
      <c r="AK157" s="66">
        <v>0</v>
      </c>
      <c r="AL157" s="66">
        <v>0</v>
      </c>
      <c r="AM157" s="66">
        <v>0</v>
      </c>
      <c r="AN157" s="45">
        <v>0</v>
      </c>
      <c r="AO157" s="834" t="str">
        <f t="shared" si="45"/>
        <v>Si</v>
      </c>
      <c r="AP157" s="45">
        <f t="shared" si="46"/>
        <v>47999.999999999993</v>
      </c>
    </row>
    <row r="158" spans="2:42" s="47" customFormat="1" x14ac:dyDescent="0.3">
      <c r="B158" s="43" t="s">
        <v>160</v>
      </c>
      <c r="C158" s="394" t="s">
        <v>161</v>
      </c>
      <c r="D158" s="49">
        <v>45839</v>
      </c>
      <c r="E158" s="49">
        <v>46537</v>
      </c>
      <c r="F158" s="44">
        <v>90</v>
      </c>
      <c r="G158" s="44" t="s">
        <v>490</v>
      </c>
      <c r="H158" s="44" t="s">
        <v>491</v>
      </c>
      <c r="I158" s="66">
        <v>0</v>
      </c>
      <c r="J158" s="45">
        <f t="shared" si="53"/>
        <v>0</v>
      </c>
      <c r="K158" s="130">
        <v>0</v>
      </c>
      <c r="L158" s="66">
        <v>0</v>
      </c>
      <c r="M158" s="66">
        <v>0</v>
      </c>
      <c r="N158" s="66">
        <v>0</v>
      </c>
      <c r="O158" s="66">
        <v>0</v>
      </c>
      <c r="P158" s="45">
        <v>0</v>
      </c>
      <c r="Q158" s="85">
        <v>0</v>
      </c>
      <c r="R158" s="66">
        <v>0</v>
      </c>
      <c r="S158" s="66">
        <v>0</v>
      </c>
      <c r="T158" s="66">
        <v>0</v>
      </c>
      <c r="U158" s="66">
        <v>0</v>
      </c>
      <c r="V158" s="66">
        <v>0</v>
      </c>
      <c r="W158" s="66">
        <v>0</v>
      </c>
      <c r="X158" s="66">
        <v>0</v>
      </c>
      <c r="Y158" s="66">
        <v>0</v>
      </c>
      <c r="Z158" s="66">
        <v>0</v>
      </c>
      <c r="AA158" s="66">
        <v>0</v>
      </c>
      <c r="AB158" s="45">
        <v>0</v>
      </c>
      <c r="AC158" s="85">
        <v>0</v>
      </c>
      <c r="AD158" s="66">
        <v>0</v>
      </c>
      <c r="AE158" s="66">
        <v>0</v>
      </c>
      <c r="AF158" s="66">
        <v>0</v>
      </c>
      <c r="AG158" s="66">
        <v>0</v>
      </c>
      <c r="AH158" s="66">
        <v>0</v>
      </c>
      <c r="AI158" s="66">
        <v>0</v>
      </c>
      <c r="AJ158" s="66">
        <v>0</v>
      </c>
      <c r="AK158" s="66">
        <v>0</v>
      </c>
      <c r="AL158" s="66">
        <v>0</v>
      </c>
      <c r="AM158" s="66">
        <v>0</v>
      </c>
      <c r="AN158" s="45">
        <v>0</v>
      </c>
      <c r="AO158" s="834" t="str">
        <f t="shared" si="45"/>
        <v>Si</v>
      </c>
      <c r="AP158" s="45">
        <f t="shared" si="46"/>
        <v>0</v>
      </c>
    </row>
    <row r="159" spans="2:42" s="47" customFormat="1" ht="28.8" x14ac:dyDescent="0.3">
      <c r="B159" s="43" t="s">
        <v>162</v>
      </c>
      <c r="C159" s="394" t="s">
        <v>163</v>
      </c>
      <c r="D159" s="49">
        <v>45839</v>
      </c>
      <c r="E159" s="49">
        <v>46537</v>
      </c>
      <c r="F159" s="44">
        <v>90</v>
      </c>
      <c r="G159" s="44" t="s">
        <v>490</v>
      </c>
      <c r="H159" s="44" t="s">
        <v>491</v>
      </c>
      <c r="I159" s="66">
        <v>0</v>
      </c>
      <c r="J159" s="45">
        <f t="shared" si="53"/>
        <v>0</v>
      </c>
      <c r="K159" s="130">
        <v>0</v>
      </c>
      <c r="L159" s="66">
        <v>0</v>
      </c>
      <c r="M159" s="66">
        <v>0</v>
      </c>
      <c r="N159" s="66">
        <v>0</v>
      </c>
      <c r="O159" s="66">
        <v>0</v>
      </c>
      <c r="P159" s="45">
        <v>0</v>
      </c>
      <c r="Q159" s="85">
        <v>0</v>
      </c>
      <c r="R159" s="66">
        <v>0</v>
      </c>
      <c r="S159" s="66">
        <v>0</v>
      </c>
      <c r="T159" s="66">
        <v>0</v>
      </c>
      <c r="U159" s="66">
        <v>0</v>
      </c>
      <c r="V159" s="66">
        <v>0</v>
      </c>
      <c r="W159" s="66">
        <v>0</v>
      </c>
      <c r="X159" s="66">
        <v>0</v>
      </c>
      <c r="Y159" s="66">
        <v>0</v>
      </c>
      <c r="Z159" s="66">
        <v>0</v>
      </c>
      <c r="AA159" s="66">
        <v>0</v>
      </c>
      <c r="AB159" s="45">
        <v>0</v>
      </c>
      <c r="AC159" s="85">
        <v>0</v>
      </c>
      <c r="AD159" s="66">
        <v>0</v>
      </c>
      <c r="AE159" s="66">
        <v>0</v>
      </c>
      <c r="AF159" s="66">
        <v>0</v>
      </c>
      <c r="AG159" s="66">
        <v>0</v>
      </c>
      <c r="AH159" s="66">
        <v>0</v>
      </c>
      <c r="AI159" s="66">
        <v>0</v>
      </c>
      <c r="AJ159" s="66">
        <v>0</v>
      </c>
      <c r="AK159" s="66">
        <v>0</v>
      </c>
      <c r="AL159" s="66">
        <v>0</v>
      </c>
      <c r="AM159" s="66">
        <v>0</v>
      </c>
      <c r="AN159" s="45">
        <v>0</v>
      </c>
      <c r="AO159" s="834" t="str">
        <f t="shared" si="45"/>
        <v>Si</v>
      </c>
      <c r="AP159" s="45">
        <f t="shared" si="46"/>
        <v>0</v>
      </c>
    </row>
    <row r="160" spans="2:42" x14ac:dyDescent="0.3">
      <c r="B160" s="29" t="s">
        <v>756</v>
      </c>
      <c r="C160" s="19" t="s">
        <v>757</v>
      </c>
      <c r="D160" s="55" t="s">
        <v>758</v>
      </c>
      <c r="E160" s="55" t="s">
        <v>758</v>
      </c>
      <c r="F160" s="39" t="e">
        <f t="shared" si="55"/>
        <v>#VALUE!</v>
      </c>
      <c r="G160" s="39" t="s">
        <v>758</v>
      </c>
      <c r="H160" s="39" t="s">
        <v>758</v>
      </c>
      <c r="I160" s="64">
        <f>+SUM(I161:I164)</f>
        <v>0</v>
      </c>
      <c r="J160" s="32">
        <f t="shared" ref="J160:J194" si="56">+I160/$J$13</f>
        <v>0</v>
      </c>
      <c r="K160" s="564">
        <f t="shared" ref="K160:AN160" si="57">+SUM(K161:K164)</f>
        <v>0</v>
      </c>
      <c r="L160" s="64">
        <f t="shared" si="57"/>
        <v>0</v>
      </c>
      <c r="M160" s="64">
        <f t="shared" si="57"/>
        <v>0</v>
      </c>
      <c r="N160" s="64">
        <f t="shared" si="57"/>
        <v>0</v>
      </c>
      <c r="O160" s="64">
        <f t="shared" si="57"/>
        <v>0</v>
      </c>
      <c r="P160" s="32">
        <f t="shared" si="57"/>
        <v>0</v>
      </c>
      <c r="Q160" s="83">
        <f t="shared" si="57"/>
        <v>0</v>
      </c>
      <c r="R160" s="64">
        <f t="shared" si="57"/>
        <v>0</v>
      </c>
      <c r="S160" s="64">
        <f t="shared" si="57"/>
        <v>0</v>
      </c>
      <c r="T160" s="64">
        <f t="shared" si="57"/>
        <v>0</v>
      </c>
      <c r="U160" s="64">
        <f t="shared" si="57"/>
        <v>0</v>
      </c>
      <c r="V160" s="64">
        <f t="shared" si="57"/>
        <v>0</v>
      </c>
      <c r="W160" s="64">
        <f t="shared" si="57"/>
        <v>0</v>
      </c>
      <c r="X160" s="64">
        <f t="shared" si="57"/>
        <v>0</v>
      </c>
      <c r="Y160" s="64">
        <f t="shared" si="57"/>
        <v>0</v>
      </c>
      <c r="Z160" s="64">
        <f t="shared" si="57"/>
        <v>0</v>
      </c>
      <c r="AA160" s="64">
        <f t="shared" si="57"/>
        <v>0</v>
      </c>
      <c r="AB160" s="32">
        <f t="shared" si="57"/>
        <v>0</v>
      </c>
      <c r="AC160" s="83">
        <f t="shared" si="57"/>
        <v>0</v>
      </c>
      <c r="AD160" s="64">
        <f t="shared" si="57"/>
        <v>0</v>
      </c>
      <c r="AE160" s="64">
        <f t="shared" si="57"/>
        <v>0</v>
      </c>
      <c r="AF160" s="64">
        <f t="shared" si="57"/>
        <v>0</v>
      </c>
      <c r="AG160" s="64">
        <f t="shared" si="57"/>
        <v>0</v>
      </c>
      <c r="AH160" s="64">
        <f t="shared" si="57"/>
        <v>0</v>
      </c>
      <c r="AI160" s="64">
        <f t="shared" si="57"/>
        <v>0</v>
      </c>
      <c r="AJ160" s="64">
        <f t="shared" si="57"/>
        <v>0</v>
      </c>
      <c r="AK160" s="64">
        <f t="shared" si="57"/>
        <v>0</v>
      </c>
      <c r="AL160" s="64">
        <f t="shared" si="57"/>
        <v>0</v>
      </c>
      <c r="AM160" s="64">
        <f t="shared" si="57"/>
        <v>0</v>
      </c>
      <c r="AN160" s="32">
        <f t="shared" si="57"/>
        <v>0</v>
      </c>
      <c r="AO160" s="832" t="str">
        <f t="shared" si="45"/>
        <v>Si</v>
      </c>
      <c r="AP160" s="32">
        <f t="shared" si="46"/>
        <v>0</v>
      </c>
    </row>
    <row r="161" spans="2:42" x14ac:dyDescent="0.3">
      <c r="B161" s="30" t="s">
        <v>759</v>
      </c>
      <c r="C161" s="2" t="s">
        <v>760</v>
      </c>
      <c r="D161" s="56" t="s">
        <v>758</v>
      </c>
      <c r="E161" s="56" t="s">
        <v>758</v>
      </c>
      <c r="F161" s="41" t="e">
        <f t="shared" si="55"/>
        <v>#VALUE!</v>
      </c>
      <c r="G161" s="41" t="s">
        <v>758</v>
      </c>
      <c r="H161" s="41" t="s">
        <v>758</v>
      </c>
      <c r="I161" s="70">
        <v>0</v>
      </c>
      <c r="J161" s="34">
        <f t="shared" si="56"/>
        <v>0</v>
      </c>
      <c r="K161" s="625">
        <v>0</v>
      </c>
      <c r="L161" s="70">
        <v>0</v>
      </c>
      <c r="M161" s="70">
        <v>0</v>
      </c>
      <c r="N161" s="70">
        <v>0</v>
      </c>
      <c r="O161" s="70">
        <v>0</v>
      </c>
      <c r="P161" s="34">
        <v>0</v>
      </c>
      <c r="Q161" s="88">
        <v>0</v>
      </c>
      <c r="R161" s="70">
        <v>0</v>
      </c>
      <c r="S161" s="70">
        <v>0</v>
      </c>
      <c r="T161" s="70">
        <v>0</v>
      </c>
      <c r="U161" s="70">
        <v>0</v>
      </c>
      <c r="V161" s="70">
        <v>0</v>
      </c>
      <c r="W161" s="70">
        <v>0</v>
      </c>
      <c r="X161" s="70">
        <v>0</v>
      </c>
      <c r="Y161" s="70">
        <v>0</v>
      </c>
      <c r="Z161" s="70">
        <v>0</v>
      </c>
      <c r="AA161" s="70">
        <v>0</v>
      </c>
      <c r="AB161" s="34">
        <v>0</v>
      </c>
      <c r="AC161" s="88">
        <v>0</v>
      </c>
      <c r="AD161" s="70">
        <v>0</v>
      </c>
      <c r="AE161" s="70">
        <v>0</v>
      </c>
      <c r="AF161" s="70">
        <v>0</v>
      </c>
      <c r="AG161" s="70">
        <v>0</v>
      </c>
      <c r="AH161" s="70">
        <v>0</v>
      </c>
      <c r="AI161" s="70">
        <v>0</v>
      </c>
      <c r="AJ161" s="70">
        <v>0</v>
      </c>
      <c r="AK161" s="70">
        <v>0</v>
      </c>
      <c r="AL161" s="70">
        <v>0</v>
      </c>
      <c r="AM161" s="70">
        <v>0</v>
      </c>
      <c r="AN161" s="34">
        <v>0</v>
      </c>
      <c r="AO161" s="835" t="str">
        <f t="shared" si="45"/>
        <v>Si</v>
      </c>
      <c r="AP161" s="34">
        <f t="shared" si="46"/>
        <v>0</v>
      </c>
    </row>
    <row r="162" spans="2:42" x14ac:dyDescent="0.3">
      <c r="B162" s="30" t="s">
        <v>761</v>
      </c>
      <c r="C162" s="2" t="s">
        <v>762</v>
      </c>
      <c r="D162" s="56" t="s">
        <v>758</v>
      </c>
      <c r="E162" s="56" t="s">
        <v>758</v>
      </c>
      <c r="F162" s="41" t="e">
        <f t="shared" si="55"/>
        <v>#VALUE!</v>
      </c>
      <c r="G162" s="41" t="s">
        <v>758</v>
      </c>
      <c r="H162" s="41" t="s">
        <v>758</v>
      </c>
      <c r="I162" s="70">
        <v>0</v>
      </c>
      <c r="J162" s="34">
        <f t="shared" si="56"/>
        <v>0</v>
      </c>
      <c r="K162" s="625">
        <v>0</v>
      </c>
      <c r="L162" s="70">
        <v>0</v>
      </c>
      <c r="M162" s="70">
        <v>0</v>
      </c>
      <c r="N162" s="70">
        <v>0</v>
      </c>
      <c r="O162" s="70">
        <v>0</v>
      </c>
      <c r="P162" s="34">
        <v>0</v>
      </c>
      <c r="Q162" s="88">
        <v>0</v>
      </c>
      <c r="R162" s="70">
        <v>0</v>
      </c>
      <c r="S162" s="70">
        <v>0</v>
      </c>
      <c r="T162" s="70">
        <v>0</v>
      </c>
      <c r="U162" s="70">
        <v>0</v>
      </c>
      <c r="V162" s="70">
        <v>0</v>
      </c>
      <c r="W162" s="70">
        <v>0</v>
      </c>
      <c r="X162" s="70">
        <v>0</v>
      </c>
      <c r="Y162" s="70">
        <v>0</v>
      </c>
      <c r="Z162" s="70">
        <v>0</v>
      </c>
      <c r="AA162" s="70">
        <v>0</v>
      </c>
      <c r="AB162" s="34">
        <v>0</v>
      </c>
      <c r="AC162" s="88">
        <v>0</v>
      </c>
      <c r="AD162" s="70">
        <v>0</v>
      </c>
      <c r="AE162" s="70">
        <v>0</v>
      </c>
      <c r="AF162" s="70">
        <v>0</v>
      </c>
      <c r="AG162" s="70">
        <v>0</v>
      </c>
      <c r="AH162" s="70">
        <v>0</v>
      </c>
      <c r="AI162" s="70">
        <v>0</v>
      </c>
      <c r="AJ162" s="70">
        <v>0</v>
      </c>
      <c r="AK162" s="70">
        <v>0</v>
      </c>
      <c r="AL162" s="70">
        <v>0</v>
      </c>
      <c r="AM162" s="70">
        <v>0</v>
      </c>
      <c r="AN162" s="34">
        <v>0</v>
      </c>
      <c r="AO162" s="835" t="str">
        <f t="shared" si="45"/>
        <v>Si</v>
      </c>
      <c r="AP162" s="34">
        <f t="shared" si="46"/>
        <v>0</v>
      </c>
    </row>
    <row r="163" spans="2:42" x14ac:dyDescent="0.3">
      <c r="B163" s="30" t="s">
        <v>763</v>
      </c>
      <c r="C163" s="2" t="s">
        <v>764</v>
      </c>
      <c r="D163" s="56" t="s">
        <v>758</v>
      </c>
      <c r="E163" s="56" t="s">
        <v>758</v>
      </c>
      <c r="F163" s="41" t="e">
        <f t="shared" si="55"/>
        <v>#VALUE!</v>
      </c>
      <c r="G163" s="41" t="s">
        <v>758</v>
      </c>
      <c r="H163" s="41" t="s">
        <v>758</v>
      </c>
      <c r="I163" s="70">
        <v>0</v>
      </c>
      <c r="J163" s="34">
        <f t="shared" si="56"/>
        <v>0</v>
      </c>
      <c r="K163" s="625">
        <v>0</v>
      </c>
      <c r="L163" s="70">
        <v>0</v>
      </c>
      <c r="M163" s="70">
        <v>0</v>
      </c>
      <c r="N163" s="70">
        <v>0</v>
      </c>
      <c r="O163" s="70">
        <v>0</v>
      </c>
      <c r="P163" s="34">
        <v>0</v>
      </c>
      <c r="Q163" s="88">
        <v>0</v>
      </c>
      <c r="R163" s="70">
        <v>0</v>
      </c>
      <c r="S163" s="70">
        <v>0</v>
      </c>
      <c r="T163" s="70">
        <v>0</v>
      </c>
      <c r="U163" s="70">
        <v>0</v>
      </c>
      <c r="V163" s="70">
        <v>0</v>
      </c>
      <c r="W163" s="70">
        <v>0</v>
      </c>
      <c r="X163" s="70">
        <v>0</v>
      </c>
      <c r="Y163" s="70">
        <v>0</v>
      </c>
      <c r="Z163" s="70">
        <v>0</v>
      </c>
      <c r="AA163" s="70">
        <v>0</v>
      </c>
      <c r="AB163" s="34">
        <v>0</v>
      </c>
      <c r="AC163" s="88">
        <v>0</v>
      </c>
      <c r="AD163" s="70">
        <v>0</v>
      </c>
      <c r="AE163" s="70">
        <v>0</v>
      </c>
      <c r="AF163" s="70">
        <v>0</v>
      </c>
      <c r="AG163" s="70">
        <v>0</v>
      </c>
      <c r="AH163" s="70">
        <v>0</v>
      </c>
      <c r="AI163" s="70">
        <v>0</v>
      </c>
      <c r="AJ163" s="70">
        <v>0</v>
      </c>
      <c r="AK163" s="70">
        <v>0</v>
      </c>
      <c r="AL163" s="70">
        <v>0</v>
      </c>
      <c r="AM163" s="70">
        <v>0</v>
      </c>
      <c r="AN163" s="34">
        <v>0</v>
      </c>
      <c r="AO163" s="835" t="str">
        <f t="shared" si="45"/>
        <v>Si</v>
      </c>
      <c r="AP163" s="34">
        <f t="shared" si="46"/>
        <v>0</v>
      </c>
    </row>
    <row r="164" spans="2:42" ht="43.2" x14ac:dyDescent="0.3">
      <c r="B164" s="30" t="s">
        <v>765</v>
      </c>
      <c r="C164" s="2" t="s">
        <v>766</v>
      </c>
      <c r="D164" s="56" t="s">
        <v>758</v>
      </c>
      <c r="E164" s="56" t="s">
        <v>758</v>
      </c>
      <c r="F164" s="41" t="e">
        <f t="shared" si="55"/>
        <v>#VALUE!</v>
      </c>
      <c r="G164" s="41" t="s">
        <v>758</v>
      </c>
      <c r="H164" s="41" t="s">
        <v>758</v>
      </c>
      <c r="I164" s="70">
        <v>0</v>
      </c>
      <c r="J164" s="34">
        <f t="shared" si="56"/>
        <v>0</v>
      </c>
      <c r="K164" s="625">
        <v>0</v>
      </c>
      <c r="L164" s="70">
        <v>0</v>
      </c>
      <c r="M164" s="70">
        <v>0</v>
      </c>
      <c r="N164" s="70">
        <v>0</v>
      </c>
      <c r="O164" s="70">
        <v>0</v>
      </c>
      <c r="P164" s="34">
        <v>0</v>
      </c>
      <c r="Q164" s="88">
        <v>0</v>
      </c>
      <c r="R164" s="70">
        <v>0</v>
      </c>
      <c r="S164" s="70">
        <v>0</v>
      </c>
      <c r="T164" s="70">
        <v>0</v>
      </c>
      <c r="U164" s="70">
        <v>0</v>
      </c>
      <c r="V164" s="70">
        <v>0</v>
      </c>
      <c r="W164" s="70">
        <v>0</v>
      </c>
      <c r="X164" s="70">
        <v>0</v>
      </c>
      <c r="Y164" s="70">
        <v>0</v>
      </c>
      <c r="Z164" s="70">
        <v>0</v>
      </c>
      <c r="AA164" s="70">
        <v>0</v>
      </c>
      <c r="AB164" s="34">
        <v>0</v>
      </c>
      <c r="AC164" s="88">
        <v>0</v>
      </c>
      <c r="AD164" s="70">
        <v>0</v>
      </c>
      <c r="AE164" s="70">
        <v>0</v>
      </c>
      <c r="AF164" s="70">
        <v>0</v>
      </c>
      <c r="AG164" s="70">
        <v>0</v>
      </c>
      <c r="AH164" s="70">
        <v>0</v>
      </c>
      <c r="AI164" s="70">
        <v>0</v>
      </c>
      <c r="AJ164" s="70">
        <v>0</v>
      </c>
      <c r="AK164" s="70">
        <v>0</v>
      </c>
      <c r="AL164" s="70">
        <v>0</v>
      </c>
      <c r="AM164" s="70">
        <v>0</v>
      </c>
      <c r="AN164" s="34">
        <v>0</v>
      </c>
      <c r="AO164" s="835" t="str">
        <f t="shared" si="45"/>
        <v>Si</v>
      </c>
      <c r="AP164" s="34">
        <f t="shared" si="46"/>
        <v>0</v>
      </c>
    </row>
    <row r="165" spans="2:42" ht="28.8" x14ac:dyDescent="0.3">
      <c r="B165" s="29" t="s">
        <v>197</v>
      </c>
      <c r="C165" s="19" t="s">
        <v>198</v>
      </c>
      <c r="D165" s="55">
        <f>+D166</f>
        <v>46023</v>
      </c>
      <c r="E165" s="55">
        <f>+E166</f>
        <v>46386</v>
      </c>
      <c r="F165" s="39">
        <f t="shared" si="55"/>
        <v>363</v>
      </c>
      <c r="G165" s="39" t="s">
        <v>490</v>
      </c>
      <c r="H165" s="39" t="s">
        <v>491</v>
      </c>
      <c r="I165" s="64">
        <f>+SUM(I166,I170,I175)+340000*65.5</f>
        <v>22270000</v>
      </c>
      <c r="J165" s="32">
        <f>+I165/$J$13</f>
        <v>340000</v>
      </c>
      <c r="K165" s="564">
        <f t="shared" ref="K165:P165" si="58">+SUM(K166,K170,K175)</f>
        <v>0</v>
      </c>
      <c r="L165" s="64">
        <f t="shared" si="58"/>
        <v>0</v>
      </c>
      <c r="M165" s="64">
        <f t="shared" si="58"/>
        <v>0</v>
      </c>
      <c r="N165" s="64">
        <f t="shared" si="58"/>
        <v>0</v>
      </c>
      <c r="O165" s="64">
        <f t="shared" si="58"/>
        <v>0</v>
      </c>
      <c r="P165" s="32">
        <f t="shared" si="58"/>
        <v>0</v>
      </c>
      <c r="Q165" s="83">
        <v>0</v>
      </c>
      <c r="R165" s="64">
        <v>0</v>
      </c>
      <c r="S165" s="64">
        <v>0</v>
      </c>
      <c r="T165" s="64">
        <v>0</v>
      </c>
      <c r="U165" s="64">
        <v>4960.3174603174602</v>
      </c>
      <c r="V165" s="64">
        <v>34960.317460317463</v>
      </c>
      <c r="W165" s="64">
        <v>10960.317460317461</v>
      </c>
      <c r="X165" s="64">
        <v>49960.317460317463</v>
      </c>
      <c r="Y165" s="64">
        <v>49960.317460317463</v>
      </c>
      <c r="Z165" s="64">
        <v>4960.3174603174602</v>
      </c>
      <c r="AA165" s="64">
        <v>46960.317460317463</v>
      </c>
      <c r="AB165" s="32">
        <v>1388.8888888888889</v>
      </c>
      <c r="AC165" s="83">
        <v>13013.888888888889</v>
      </c>
      <c r="AD165" s="64">
        <v>13013.888888888889</v>
      </c>
      <c r="AE165" s="64">
        <v>13013.888888888889</v>
      </c>
      <c r="AF165" s="64">
        <v>25013.888888888891</v>
      </c>
      <c r="AG165" s="64">
        <v>13013.888888888889</v>
      </c>
      <c r="AH165" s="64">
        <v>13013.888888888889</v>
      </c>
      <c r="AI165" s="64">
        <v>13013.888888888889</v>
      </c>
      <c r="AJ165" s="64">
        <v>13013.888888888889</v>
      </c>
      <c r="AK165" s="64">
        <v>9888.8888888888887</v>
      </c>
      <c r="AL165" s="64">
        <v>9888.8888888888887</v>
      </c>
      <c r="AM165" s="64">
        <v>0</v>
      </c>
      <c r="AN165" s="32">
        <v>0</v>
      </c>
      <c r="AO165" s="832" t="str">
        <f>IF(SUM(K165:AN165)=J165,"Si","No")</f>
        <v>Si</v>
      </c>
      <c r="AP165" s="32">
        <f t="shared" si="46"/>
        <v>339999.99999999988</v>
      </c>
    </row>
    <row r="166" spans="2:42" ht="71.400000000000006" customHeight="1" x14ac:dyDescent="0.3">
      <c r="B166" s="30" t="s">
        <v>767</v>
      </c>
      <c r="C166" s="2" t="s">
        <v>768</v>
      </c>
      <c r="D166" s="56">
        <f>+D167</f>
        <v>46023</v>
      </c>
      <c r="E166" s="56">
        <f>+E169</f>
        <v>46386</v>
      </c>
      <c r="F166" s="41">
        <f t="shared" si="55"/>
        <v>363</v>
      </c>
      <c r="G166" s="41" t="str">
        <f>+G167</f>
        <v>INICIO</v>
      </c>
      <c r="H166" s="41" t="str">
        <f>+H169</f>
        <v>FIN</v>
      </c>
      <c r="I166" s="70">
        <f>+SUM(I167:I169)</f>
        <v>0</v>
      </c>
      <c r="J166" s="34">
        <f t="shared" si="56"/>
        <v>0</v>
      </c>
      <c r="K166" s="625">
        <f t="shared" ref="K166:AN166" si="59">+SUM(K167:K169)</f>
        <v>0</v>
      </c>
      <c r="L166" s="70">
        <f t="shared" si="59"/>
        <v>0</v>
      </c>
      <c r="M166" s="70">
        <f t="shared" si="59"/>
        <v>0</v>
      </c>
      <c r="N166" s="70">
        <f t="shared" si="59"/>
        <v>0</v>
      </c>
      <c r="O166" s="70">
        <f t="shared" si="59"/>
        <v>0</v>
      </c>
      <c r="P166" s="34">
        <f t="shared" si="59"/>
        <v>0</v>
      </c>
      <c r="Q166" s="88">
        <f t="shared" si="59"/>
        <v>0</v>
      </c>
      <c r="R166" s="70">
        <f t="shared" si="59"/>
        <v>0</v>
      </c>
      <c r="S166" s="70">
        <f t="shared" si="59"/>
        <v>0</v>
      </c>
      <c r="T166" s="70">
        <f t="shared" si="59"/>
        <v>0</v>
      </c>
      <c r="U166" s="70">
        <f t="shared" si="59"/>
        <v>0</v>
      </c>
      <c r="V166" s="70">
        <f t="shared" si="59"/>
        <v>0</v>
      </c>
      <c r="W166" s="70">
        <f t="shared" si="59"/>
        <v>0</v>
      </c>
      <c r="X166" s="70">
        <f t="shared" si="59"/>
        <v>0</v>
      </c>
      <c r="Y166" s="70">
        <f t="shared" si="59"/>
        <v>0</v>
      </c>
      <c r="Z166" s="70">
        <f t="shared" si="59"/>
        <v>0</v>
      </c>
      <c r="AA166" s="70">
        <f t="shared" si="59"/>
        <v>0</v>
      </c>
      <c r="AB166" s="34">
        <f t="shared" si="59"/>
        <v>0</v>
      </c>
      <c r="AC166" s="88">
        <f t="shared" si="59"/>
        <v>0</v>
      </c>
      <c r="AD166" s="70">
        <f t="shared" si="59"/>
        <v>0</v>
      </c>
      <c r="AE166" s="70">
        <f t="shared" si="59"/>
        <v>0</v>
      </c>
      <c r="AF166" s="70">
        <f t="shared" si="59"/>
        <v>0</v>
      </c>
      <c r="AG166" s="70">
        <f t="shared" si="59"/>
        <v>0</v>
      </c>
      <c r="AH166" s="70">
        <f t="shared" si="59"/>
        <v>0</v>
      </c>
      <c r="AI166" s="70">
        <f t="shared" si="59"/>
        <v>0</v>
      </c>
      <c r="AJ166" s="70">
        <f t="shared" si="59"/>
        <v>0</v>
      </c>
      <c r="AK166" s="70">
        <f t="shared" si="59"/>
        <v>0</v>
      </c>
      <c r="AL166" s="70">
        <f t="shared" si="59"/>
        <v>0</v>
      </c>
      <c r="AM166" s="70">
        <f t="shared" si="59"/>
        <v>0</v>
      </c>
      <c r="AN166" s="34">
        <f t="shared" si="59"/>
        <v>0</v>
      </c>
      <c r="AO166" s="835" t="str">
        <f t="shared" si="45"/>
        <v>Si</v>
      </c>
      <c r="AP166" s="34">
        <f t="shared" si="46"/>
        <v>0</v>
      </c>
    </row>
    <row r="167" spans="2:42" s="47" customFormat="1" x14ac:dyDescent="0.3">
      <c r="B167" s="48" t="s">
        <v>769</v>
      </c>
      <c r="C167" s="71" t="s">
        <v>770</v>
      </c>
      <c r="D167" s="57">
        <v>46023</v>
      </c>
      <c r="E167" s="57">
        <v>46386</v>
      </c>
      <c r="F167" s="50">
        <f t="shared" si="55"/>
        <v>363</v>
      </c>
      <c r="G167" s="50" t="s">
        <v>490</v>
      </c>
      <c r="H167" s="50" t="s">
        <v>771</v>
      </c>
      <c r="I167" s="72">
        <v>0</v>
      </c>
      <c r="J167" s="51">
        <f t="shared" si="56"/>
        <v>0</v>
      </c>
      <c r="K167" s="626">
        <v>0</v>
      </c>
      <c r="L167" s="72">
        <v>0</v>
      </c>
      <c r="M167" s="72">
        <v>0</v>
      </c>
      <c r="N167" s="72">
        <v>0</v>
      </c>
      <c r="O167" s="72">
        <v>0</v>
      </c>
      <c r="P167" s="51">
        <v>0</v>
      </c>
      <c r="Q167" s="523">
        <v>0</v>
      </c>
      <c r="R167" s="72">
        <v>0</v>
      </c>
      <c r="S167" s="72">
        <v>0</v>
      </c>
      <c r="T167" s="72">
        <v>0</v>
      </c>
      <c r="U167" s="72">
        <v>0</v>
      </c>
      <c r="V167" s="72">
        <v>0</v>
      </c>
      <c r="W167" s="72">
        <v>0</v>
      </c>
      <c r="X167" s="72">
        <v>0</v>
      </c>
      <c r="Y167" s="72">
        <v>0</v>
      </c>
      <c r="Z167" s="72">
        <v>0</v>
      </c>
      <c r="AA167" s="72">
        <v>0</v>
      </c>
      <c r="AB167" s="51">
        <v>0</v>
      </c>
      <c r="AC167" s="89"/>
      <c r="AD167" s="72"/>
      <c r="AE167" s="72"/>
      <c r="AF167" s="72"/>
      <c r="AG167" s="72"/>
      <c r="AH167" s="72"/>
      <c r="AI167" s="72"/>
      <c r="AJ167" s="72"/>
      <c r="AK167" s="72"/>
      <c r="AL167" s="72"/>
      <c r="AM167" s="72"/>
      <c r="AN167" s="51"/>
      <c r="AO167" s="836" t="str">
        <f t="shared" si="45"/>
        <v>Si</v>
      </c>
      <c r="AP167" s="51">
        <f t="shared" si="46"/>
        <v>0</v>
      </c>
    </row>
    <row r="168" spans="2:42" s="47" customFormat="1" x14ac:dyDescent="0.3">
      <c r="B168" s="48" t="s">
        <v>771</v>
      </c>
      <c r="C168" s="71" t="s">
        <v>772</v>
      </c>
      <c r="D168" s="57">
        <v>46023</v>
      </c>
      <c r="E168" s="57">
        <v>46386</v>
      </c>
      <c r="F168" s="50">
        <f t="shared" si="55"/>
        <v>363</v>
      </c>
      <c r="G168" s="50" t="s">
        <v>769</v>
      </c>
      <c r="H168" s="50" t="s">
        <v>773</v>
      </c>
      <c r="I168" s="72">
        <v>0</v>
      </c>
      <c r="J168" s="51">
        <f t="shared" si="56"/>
        <v>0</v>
      </c>
      <c r="K168" s="626">
        <v>0</v>
      </c>
      <c r="L168" s="72">
        <v>0</v>
      </c>
      <c r="M168" s="72">
        <v>0</v>
      </c>
      <c r="N168" s="72">
        <v>0</v>
      </c>
      <c r="O168" s="72">
        <v>0</v>
      </c>
      <c r="P168" s="51">
        <v>0</v>
      </c>
      <c r="Q168" s="523">
        <v>0</v>
      </c>
      <c r="R168" s="72">
        <v>0</v>
      </c>
      <c r="S168" s="72">
        <v>0</v>
      </c>
      <c r="T168" s="72">
        <v>0</v>
      </c>
      <c r="U168" s="72">
        <v>0</v>
      </c>
      <c r="V168" s="72">
        <v>0</v>
      </c>
      <c r="W168" s="72">
        <v>0</v>
      </c>
      <c r="X168" s="72">
        <v>0</v>
      </c>
      <c r="Y168" s="72">
        <v>0</v>
      </c>
      <c r="Z168" s="72">
        <v>0</v>
      </c>
      <c r="AA168" s="72">
        <v>0</v>
      </c>
      <c r="AB168" s="51">
        <v>0</v>
      </c>
      <c r="AC168" s="89"/>
      <c r="AD168" s="72"/>
      <c r="AE168" s="72"/>
      <c r="AF168" s="72"/>
      <c r="AG168" s="72"/>
      <c r="AH168" s="72"/>
      <c r="AI168" s="72"/>
      <c r="AJ168" s="72"/>
      <c r="AK168" s="72"/>
      <c r="AL168" s="72"/>
      <c r="AM168" s="72"/>
      <c r="AN168" s="51"/>
      <c r="AO168" s="836" t="str">
        <f t="shared" si="45"/>
        <v>Si</v>
      </c>
      <c r="AP168" s="51">
        <f t="shared" si="46"/>
        <v>0</v>
      </c>
    </row>
    <row r="169" spans="2:42" s="47" customFormat="1" x14ac:dyDescent="0.3">
      <c r="B169" s="48" t="s">
        <v>773</v>
      </c>
      <c r="C169" s="71" t="s">
        <v>774</v>
      </c>
      <c r="D169" s="57">
        <v>46023</v>
      </c>
      <c r="E169" s="57">
        <v>46386</v>
      </c>
      <c r="F169" s="50">
        <f t="shared" si="55"/>
        <v>363</v>
      </c>
      <c r="G169" s="50" t="s">
        <v>771</v>
      </c>
      <c r="H169" s="50" t="s">
        <v>491</v>
      </c>
      <c r="I169" s="72">
        <v>0</v>
      </c>
      <c r="J169" s="51">
        <f t="shared" si="56"/>
        <v>0</v>
      </c>
      <c r="K169" s="626">
        <v>0</v>
      </c>
      <c r="L169" s="72">
        <v>0</v>
      </c>
      <c r="M169" s="72">
        <v>0</v>
      </c>
      <c r="N169" s="72">
        <v>0</v>
      </c>
      <c r="O169" s="72">
        <v>0</v>
      </c>
      <c r="P169" s="51">
        <v>0</v>
      </c>
      <c r="Q169" s="523">
        <v>0</v>
      </c>
      <c r="R169" s="72">
        <v>0</v>
      </c>
      <c r="S169" s="72">
        <v>0</v>
      </c>
      <c r="T169" s="72">
        <v>0</v>
      </c>
      <c r="U169" s="72">
        <v>0</v>
      </c>
      <c r="V169" s="72">
        <v>0</v>
      </c>
      <c r="W169" s="72">
        <v>0</v>
      </c>
      <c r="X169" s="72">
        <v>0</v>
      </c>
      <c r="Y169" s="72">
        <v>0</v>
      </c>
      <c r="Z169" s="72">
        <v>0</v>
      </c>
      <c r="AA169" s="72">
        <v>0</v>
      </c>
      <c r="AB169" s="51">
        <v>0</v>
      </c>
      <c r="AC169" s="89"/>
      <c r="AD169" s="72"/>
      <c r="AE169" s="72"/>
      <c r="AF169" s="72"/>
      <c r="AG169" s="72"/>
      <c r="AH169" s="72"/>
      <c r="AI169" s="72"/>
      <c r="AJ169" s="72"/>
      <c r="AK169" s="72"/>
      <c r="AL169" s="72"/>
      <c r="AM169" s="72"/>
      <c r="AN169" s="51"/>
      <c r="AO169" s="836" t="str">
        <f t="shared" si="45"/>
        <v>Si</v>
      </c>
      <c r="AP169" s="51">
        <f t="shared" si="46"/>
        <v>0</v>
      </c>
    </row>
    <row r="170" spans="2:42" ht="28.8" x14ac:dyDescent="0.3">
      <c r="B170" s="30" t="s">
        <v>775</v>
      </c>
      <c r="C170" s="2" t="s">
        <v>776</v>
      </c>
      <c r="D170" s="56">
        <f>+D171</f>
        <v>46023</v>
      </c>
      <c r="E170" s="56">
        <f>+E174</f>
        <v>46386</v>
      </c>
      <c r="F170" s="41">
        <f t="shared" si="55"/>
        <v>363</v>
      </c>
      <c r="G170" s="41" t="str">
        <f>+G171</f>
        <v>INICIO</v>
      </c>
      <c r="H170" s="41" t="str">
        <f>+H174</f>
        <v>FIN</v>
      </c>
      <c r="I170" s="70">
        <f>+SUM(I171:I174)</f>
        <v>0</v>
      </c>
      <c r="J170" s="34">
        <f t="shared" si="56"/>
        <v>0</v>
      </c>
      <c r="K170" s="625">
        <f t="shared" ref="K170:AN170" si="60">+SUM(K171:K174)</f>
        <v>0</v>
      </c>
      <c r="L170" s="70">
        <f t="shared" si="60"/>
        <v>0</v>
      </c>
      <c r="M170" s="70">
        <f t="shared" si="60"/>
        <v>0</v>
      </c>
      <c r="N170" s="70">
        <f t="shared" si="60"/>
        <v>0</v>
      </c>
      <c r="O170" s="70">
        <f t="shared" si="60"/>
        <v>0</v>
      </c>
      <c r="P170" s="34">
        <f t="shared" si="60"/>
        <v>0</v>
      </c>
      <c r="Q170" s="88">
        <f t="shared" si="60"/>
        <v>0</v>
      </c>
      <c r="R170" s="70">
        <f t="shared" si="60"/>
        <v>0</v>
      </c>
      <c r="S170" s="70">
        <f t="shared" si="60"/>
        <v>0</v>
      </c>
      <c r="T170" s="70">
        <f t="shared" si="60"/>
        <v>0</v>
      </c>
      <c r="U170" s="70">
        <f t="shared" si="60"/>
        <v>0</v>
      </c>
      <c r="V170" s="70">
        <f t="shared" si="60"/>
        <v>0</v>
      </c>
      <c r="W170" s="70">
        <f t="shared" si="60"/>
        <v>0</v>
      </c>
      <c r="X170" s="70">
        <f t="shared" si="60"/>
        <v>0</v>
      </c>
      <c r="Y170" s="70">
        <f t="shared" si="60"/>
        <v>0</v>
      </c>
      <c r="Z170" s="70">
        <f t="shared" si="60"/>
        <v>0</v>
      </c>
      <c r="AA170" s="70">
        <f t="shared" si="60"/>
        <v>0</v>
      </c>
      <c r="AB170" s="34">
        <f t="shared" si="60"/>
        <v>0</v>
      </c>
      <c r="AC170" s="88">
        <f t="shared" si="60"/>
        <v>0</v>
      </c>
      <c r="AD170" s="70">
        <f t="shared" si="60"/>
        <v>0</v>
      </c>
      <c r="AE170" s="70">
        <f t="shared" si="60"/>
        <v>0</v>
      </c>
      <c r="AF170" s="70">
        <f t="shared" si="60"/>
        <v>0</v>
      </c>
      <c r="AG170" s="70">
        <f t="shared" si="60"/>
        <v>0</v>
      </c>
      <c r="AH170" s="70">
        <f t="shared" si="60"/>
        <v>0</v>
      </c>
      <c r="AI170" s="70">
        <f t="shared" si="60"/>
        <v>0</v>
      </c>
      <c r="AJ170" s="70">
        <f t="shared" si="60"/>
        <v>0</v>
      </c>
      <c r="AK170" s="70">
        <f t="shared" si="60"/>
        <v>0</v>
      </c>
      <c r="AL170" s="70">
        <f t="shared" si="60"/>
        <v>0</v>
      </c>
      <c r="AM170" s="70">
        <f t="shared" si="60"/>
        <v>0</v>
      </c>
      <c r="AN170" s="34">
        <f t="shared" si="60"/>
        <v>0</v>
      </c>
      <c r="AO170" s="835" t="str">
        <f t="shared" si="45"/>
        <v>Si</v>
      </c>
      <c r="AP170" s="34">
        <f t="shared" si="46"/>
        <v>0</v>
      </c>
    </row>
    <row r="171" spans="2:42" s="47" customFormat="1" x14ac:dyDescent="0.3">
      <c r="B171" s="48" t="s">
        <v>777</v>
      </c>
      <c r="C171" s="73" t="s">
        <v>778</v>
      </c>
      <c r="D171" s="57">
        <v>46023</v>
      </c>
      <c r="E171" s="57">
        <v>46386</v>
      </c>
      <c r="F171" s="50">
        <f t="shared" si="55"/>
        <v>363</v>
      </c>
      <c r="G171" s="50" t="s">
        <v>490</v>
      </c>
      <c r="H171" s="50" t="s">
        <v>779</v>
      </c>
      <c r="I171" s="72">
        <v>0</v>
      </c>
      <c r="J171" s="51">
        <f t="shared" si="56"/>
        <v>0</v>
      </c>
      <c r="K171" s="626">
        <v>0</v>
      </c>
      <c r="L171" s="72">
        <v>0</v>
      </c>
      <c r="M171" s="72">
        <v>0</v>
      </c>
      <c r="N171" s="72">
        <v>0</v>
      </c>
      <c r="O171" s="72">
        <v>0</v>
      </c>
      <c r="P171" s="51">
        <v>0</v>
      </c>
      <c r="Q171" s="89">
        <v>0</v>
      </c>
      <c r="R171" s="72">
        <v>0</v>
      </c>
      <c r="S171" s="72">
        <v>0</v>
      </c>
      <c r="T171" s="72">
        <v>0</v>
      </c>
      <c r="U171" s="72">
        <v>0</v>
      </c>
      <c r="V171" s="72">
        <v>0</v>
      </c>
      <c r="W171" s="72">
        <v>0</v>
      </c>
      <c r="X171" s="72">
        <v>0</v>
      </c>
      <c r="Y171" s="72">
        <v>0</v>
      </c>
      <c r="Z171" s="72">
        <v>0</v>
      </c>
      <c r="AA171" s="72">
        <v>0</v>
      </c>
      <c r="AB171" s="51">
        <v>0</v>
      </c>
      <c r="AC171" s="89"/>
      <c r="AD171" s="72"/>
      <c r="AE171" s="72"/>
      <c r="AF171" s="72"/>
      <c r="AG171" s="72"/>
      <c r="AH171" s="72"/>
      <c r="AI171" s="72"/>
      <c r="AJ171" s="72"/>
      <c r="AK171" s="72"/>
      <c r="AL171" s="72"/>
      <c r="AM171" s="72"/>
      <c r="AN171" s="51"/>
      <c r="AO171" s="836" t="str">
        <f t="shared" si="45"/>
        <v>Si</v>
      </c>
      <c r="AP171" s="51">
        <f t="shared" si="46"/>
        <v>0</v>
      </c>
    </row>
    <row r="172" spans="2:42" s="47" customFormat="1" x14ac:dyDescent="0.3">
      <c r="B172" s="48" t="s">
        <v>779</v>
      </c>
      <c r="C172" s="73" t="s">
        <v>780</v>
      </c>
      <c r="D172" s="57">
        <v>46023</v>
      </c>
      <c r="E172" s="57">
        <v>46386</v>
      </c>
      <c r="F172" s="50">
        <f t="shared" si="55"/>
        <v>363</v>
      </c>
      <c r="G172" s="50" t="s">
        <v>777</v>
      </c>
      <c r="H172" s="50" t="s">
        <v>781</v>
      </c>
      <c r="I172" s="72">
        <v>0</v>
      </c>
      <c r="J172" s="51">
        <f t="shared" si="56"/>
        <v>0</v>
      </c>
      <c r="K172" s="626">
        <v>0</v>
      </c>
      <c r="L172" s="72">
        <v>0</v>
      </c>
      <c r="M172" s="72">
        <v>0</v>
      </c>
      <c r="N172" s="72">
        <v>0</v>
      </c>
      <c r="O172" s="72">
        <v>0</v>
      </c>
      <c r="P172" s="51">
        <v>0</v>
      </c>
      <c r="Q172" s="89">
        <v>0</v>
      </c>
      <c r="R172" s="72">
        <v>0</v>
      </c>
      <c r="S172" s="72">
        <v>0</v>
      </c>
      <c r="T172" s="72">
        <v>0</v>
      </c>
      <c r="U172" s="72">
        <v>0</v>
      </c>
      <c r="V172" s="72">
        <v>0</v>
      </c>
      <c r="W172" s="72">
        <v>0</v>
      </c>
      <c r="X172" s="72">
        <v>0</v>
      </c>
      <c r="Y172" s="72">
        <v>0</v>
      </c>
      <c r="Z172" s="72">
        <v>0</v>
      </c>
      <c r="AA172" s="72">
        <v>0</v>
      </c>
      <c r="AB172" s="51">
        <v>0</v>
      </c>
      <c r="AC172" s="89"/>
      <c r="AD172" s="72"/>
      <c r="AE172" s="72"/>
      <c r="AF172" s="72"/>
      <c r="AG172" s="72"/>
      <c r="AH172" s="72"/>
      <c r="AI172" s="72"/>
      <c r="AJ172" s="72"/>
      <c r="AK172" s="72"/>
      <c r="AL172" s="72"/>
      <c r="AM172" s="72"/>
      <c r="AN172" s="51"/>
      <c r="AO172" s="836" t="str">
        <f t="shared" si="45"/>
        <v>Si</v>
      </c>
      <c r="AP172" s="51">
        <f t="shared" si="46"/>
        <v>0</v>
      </c>
    </row>
    <row r="173" spans="2:42" s="47" customFormat="1" x14ac:dyDescent="0.3">
      <c r="B173" s="48" t="s">
        <v>781</v>
      </c>
      <c r="C173" s="73" t="s">
        <v>782</v>
      </c>
      <c r="D173" s="57">
        <v>46023</v>
      </c>
      <c r="E173" s="57">
        <v>46386</v>
      </c>
      <c r="F173" s="50">
        <f t="shared" si="55"/>
        <v>363</v>
      </c>
      <c r="G173" s="50" t="s">
        <v>779</v>
      </c>
      <c r="H173" s="50" t="s">
        <v>783</v>
      </c>
      <c r="I173" s="72">
        <v>0</v>
      </c>
      <c r="J173" s="51">
        <f t="shared" si="56"/>
        <v>0</v>
      </c>
      <c r="K173" s="626">
        <v>0</v>
      </c>
      <c r="L173" s="72">
        <v>0</v>
      </c>
      <c r="M173" s="72">
        <v>0</v>
      </c>
      <c r="N173" s="72">
        <v>0</v>
      </c>
      <c r="O173" s="72">
        <v>0</v>
      </c>
      <c r="P173" s="51">
        <v>0</v>
      </c>
      <c r="Q173" s="89">
        <v>0</v>
      </c>
      <c r="R173" s="72">
        <v>0</v>
      </c>
      <c r="S173" s="72">
        <v>0</v>
      </c>
      <c r="T173" s="72">
        <v>0</v>
      </c>
      <c r="U173" s="72">
        <v>0</v>
      </c>
      <c r="V173" s="72">
        <v>0</v>
      </c>
      <c r="W173" s="72">
        <v>0</v>
      </c>
      <c r="X173" s="72">
        <v>0</v>
      </c>
      <c r="Y173" s="72">
        <v>0</v>
      </c>
      <c r="Z173" s="72">
        <v>0</v>
      </c>
      <c r="AA173" s="72">
        <v>0</v>
      </c>
      <c r="AB173" s="51">
        <v>0</v>
      </c>
      <c r="AC173" s="89"/>
      <c r="AD173" s="72"/>
      <c r="AE173" s="72"/>
      <c r="AF173" s="72"/>
      <c r="AG173" s="72"/>
      <c r="AH173" s="72"/>
      <c r="AI173" s="72"/>
      <c r="AJ173" s="72"/>
      <c r="AK173" s="72"/>
      <c r="AL173" s="72"/>
      <c r="AM173" s="72"/>
      <c r="AN173" s="51"/>
      <c r="AO173" s="836" t="str">
        <f t="shared" si="45"/>
        <v>Si</v>
      </c>
      <c r="AP173" s="51">
        <f t="shared" si="46"/>
        <v>0</v>
      </c>
    </row>
    <row r="174" spans="2:42" s="47" customFormat="1" x14ac:dyDescent="0.3">
      <c r="B174" s="48" t="s">
        <v>783</v>
      </c>
      <c r="C174" s="73" t="s">
        <v>784</v>
      </c>
      <c r="D174" s="57">
        <v>46023</v>
      </c>
      <c r="E174" s="57">
        <v>46386</v>
      </c>
      <c r="F174" s="50">
        <f t="shared" si="55"/>
        <v>363</v>
      </c>
      <c r="G174" s="50" t="s">
        <v>781</v>
      </c>
      <c r="H174" s="50" t="s">
        <v>491</v>
      </c>
      <c r="I174" s="72">
        <v>0</v>
      </c>
      <c r="J174" s="51">
        <f t="shared" si="56"/>
        <v>0</v>
      </c>
      <c r="K174" s="626">
        <v>0</v>
      </c>
      <c r="L174" s="72">
        <v>0</v>
      </c>
      <c r="M174" s="72">
        <v>0</v>
      </c>
      <c r="N174" s="72">
        <v>0</v>
      </c>
      <c r="O174" s="72">
        <v>0</v>
      </c>
      <c r="P174" s="51">
        <v>0</v>
      </c>
      <c r="Q174" s="89">
        <v>0</v>
      </c>
      <c r="R174" s="72">
        <v>0</v>
      </c>
      <c r="S174" s="72">
        <v>0</v>
      </c>
      <c r="T174" s="72">
        <v>0</v>
      </c>
      <c r="U174" s="72">
        <v>0</v>
      </c>
      <c r="V174" s="72">
        <v>0</v>
      </c>
      <c r="W174" s="72">
        <v>0</v>
      </c>
      <c r="X174" s="72">
        <v>0</v>
      </c>
      <c r="Y174" s="72">
        <v>0</v>
      </c>
      <c r="Z174" s="72">
        <v>0</v>
      </c>
      <c r="AA174" s="72">
        <v>0</v>
      </c>
      <c r="AB174" s="51">
        <v>0</v>
      </c>
      <c r="AC174" s="89"/>
      <c r="AD174" s="72"/>
      <c r="AE174" s="72"/>
      <c r="AF174" s="72"/>
      <c r="AG174" s="72"/>
      <c r="AH174" s="72"/>
      <c r="AI174" s="72"/>
      <c r="AJ174" s="72"/>
      <c r="AK174" s="72"/>
      <c r="AL174" s="72"/>
      <c r="AM174" s="72"/>
      <c r="AN174" s="51"/>
      <c r="AO174" s="836" t="str">
        <f t="shared" si="45"/>
        <v>Si</v>
      </c>
      <c r="AP174" s="51">
        <f t="shared" si="46"/>
        <v>0</v>
      </c>
    </row>
    <row r="175" spans="2:42" ht="43.2" x14ac:dyDescent="0.3">
      <c r="B175" s="30" t="s">
        <v>785</v>
      </c>
      <c r="C175" s="2" t="s">
        <v>786</v>
      </c>
      <c r="D175" s="56">
        <f>+D176</f>
        <v>46023</v>
      </c>
      <c r="E175" s="56">
        <f>+E179</f>
        <v>46386</v>
      </c>
      <c r="F175" s="41">
        <f t="shared" si="55"/>
        <v>363</v>
      </c>
      <c r="G175" s="41" t="str">
        <f>+G176</f>
        <v>INICIO</v>
      </c>
      <c r="H175" s="41" t="str">
        <f>+H179</f>
        <v>FIN</v>
      </c>
      <c r="I175" s="70">
        <f>+SUM(I176:I179)</f>
        <v>0</v>
      </c>
      <c r="J175" s="34">
        <f t="shared" si="56"/>
        <v>0</v>
      </c>
      <c r="K175" s="625">
        <f t="shared" ref="K175:AN175" si="61">+SUM(K176:K179)</f>
        <v>0</v>
      </c>
      <c r="L175" s="70">
        <f t="shared" si="61"/>
        <v>0</v>
      </c>
      <c r="M175" s="70">
        <f t="shared" si="61"/>
        <v>0</v>
      </c>
      <c r="N175" s="70">
        <f t="shared" si="61"/>
        <v>0</v>
      </c>
      <c r="O175" s="70">
        <f t="shared" si="61"/>
        <v>0</v>
      </c>
      <c r="P175" s="34">
        <f t="shared" si="61"/>
        <v>0</v>
      </c>
      <c r="Q175" s="88">
        <f t="shared" si="61"/>
        <v>0</v>
      </c>
      <c r="R175" s="70">
        <f t="shared" si="61"/>
        <v>0</v>
      </c>
      <c r="S175" s="70">
        <f t="shared" si="61"/>
        <v>0</v>
      </c>
      <c r="T175" s="70">
        <f t="shared" si="61"/>
        <v>0</v>
      </c>
      <c r="U175" s="70">
        <f t="shared" si="61"/>
        <v>0</v>
      </c>
      <c r="V175" s="70">
        <f t="shared" si="61"/>
        <v>0</v>
      </c>
      <c r="W175" s="70">
        <f t="shared" si="61"/>
        <v>0</v>
      </c>
      <c r="X175" s="70">
        <f t="shared" si="61"/>
        <v>0</v>
      </c>
      <c r="Y175" s="70">
        <f t="shared" si="61"/>
        <v>0</v>
      </c>
      <c r="Z175" s="70">
        <f t="shared" si="61"/>
        <v>0</v>
      </c>
      <c r="AA175" s="70">
        <f t="shared" si="61"/>
        <v>0</v>
      </c>
      <c r="AB175" s="34">
        <f t="shared" si="61"/>
        <v>0</v>
      </c>
      <c r="AC175" s="88">
        <f t="shared" si="61"/>
        <v>0</v>
      </c>
      <c r="AD175" s="70">
        <f t="shared" si="61"/>
        <v>0</v>
      </c>
      <c r="AE175" s="70">
        <f t="shared" si="61"/>
        <v>0</v>
      </c>
      <c r="AF175" s="70">
        <f t="shared" si="61"/>
        <v>0</v>
      </c>
      <c r="AG175" s="70">
        <f t="shared" si="61"/>
        <v>0</v>
      </c>
      <c r="AH175" s="70">
        <f t="shared" si="61"/>
        <v>0</v>
      </c>
      <c r="AI175" s="70">
        <f t="shared" si="61"/>
        <v>0</v>
      </c>
      <c r="AJ175" s="70">
        <f t="shared" si="61"/>
        <v>0</v>
      </c>
      <c r="AK175" s="70">
        <f t="shared" si="61"/>
        <v>0</v>
      </c>
      <c r="AL175" s="70">
        <f t="shared" si="61"/>
        <v>0</v>
      </c>
      <c r="AM175" s="70">
        <f t="shared" si="61"/>
        <v>0</v>
      </c>
      <c r="AN175" s="34">
        <f t="shared" si="61"/>
        <v>0</v>
      </c>
      <c r="AO175" s="835" t="str">
        <f t="shared" si="45"/>
        <v>Si</v>
      </c>
      <c r="AP175" s="34">
        <f t="shared" si="46"/>
        <v>0</v>
      </c>
    </row>
    <row r="176" spans="2:42" s="47" customFormat="1" ht="28.8" x14ac:dyDescent="0.3">
      <c r="B176" s="48" t="s">
        <v>787</v>
      </c>
      <c r="C176" s="71" t="s">
        <v>788</v>
      </c>
      <c r="D176" s="57">
        <v>46023</v>
      </c>
      <c r="E176" s="57">
        <v>46386</v>
      </c>
      <c r="F176" s="50">
        <f t="shared" si="55"/>
        <v>363</v>
      </c>
      <c r="G176" s="50" t="s">
        <v>490</v>
      </c>
      <c r="H176" s="50" t="s">
        <v>789</v>
      </c>
      <c r="I176" s="72">
        <v>0</v>
      </c>
      <c r="J176" s="51">
        <f t="shared" si="56"/>
        <v>0</v>
      </c>
      <c r="K176" s="626">
        <v>0</v>
      </c>
      <c r="L176" s="72">
        <v>0</v>
      </c>
      <c r="M176" s="72">
        <v>0</v>
      </c>
      <c r="N176" s="72">
        <v>0</v>
      </c>
      <c r="O176" s="72">
        <v>0</v>
      </c>
      <c r="P176" s="51">
        <v>0</v>
      </c>
      <c r="Q176" s="89">
        <v>0</v>
      </c>
      <c r="R176" s="72">
        <v>0</v>
      </c>
      <c r="S176" s="72">
        <v>0</v>
      </c>
      <c r="T176" s="72">
        <v>0</v>
      </c>
      <c r="U176" s="72">
        <v>0</v>
      </c>
      <c r="V176" s="72">
        <v>0</v>
      </c>
      <c r="W176" s="72">
        <v>0</v>
      </c>
      <c r="X176" s="72">
        <v>0</v>
      </c>
      <c r="Y176" s="72">
        <v>0</v>
      </c>
      <c r="Z176" s="72">
        <v>0</v>
      </c>
      <c r="AA176" s="72">
        <v>0</v>
      </c>
      <c r="AB176" s="51">
        <v>0</v>
      </c>
      <c r="AC176" s="89">
        <v>0</v>
      </c>
      <c r="AD176" s="72">
        <v>0</v>
      </c>
      <c r="AE176" s="72">
        <v>0</v>
      </c>
      <c r="AF176" s="72">
        <v>0</v>
      </c>
      <c r="AG176" s="72">
        <v>0</v>
      </c>
      <c r="AH176" s="72">
        <v>0</v>
      </c>
      <c r="AI176" s="72">
        <v>0</v>
      </c>
      <c r="AJ176" s="72">
        <v>0</v>
      </c>
      <c r="AK176" s="72">
        <v>0</v>
      </c>
      <c r="AL176" s="72">
        <v>0</v>
      </c>
      <c r="AM176" s="72">
        <v>0</v>
      </c>
      <c r="AN176" s="51">
        <v>0</v>
      </c>
      <c r="AO176" s="836" t="str">
        <f t="shared" si="45"/>
        <v>Si</v>
      </c>
      <c r="AP176" s="51">
        <f t="shared" si="46"/>
        <v>0</v>
      </c>
    </row>
    <row r="177" spans="2:42" s="47" customFormat="1" ht="28.8" x14ac:dyDescent="0.3">
      <c r="B177" s="48" t="s">
        <v>789</v>
      </c>
      <c r="C177" s="71" t="s">
        <v>790</v>
      </c>
      <c r="D177" s="57">
        <v>46023</v>
      </c>
      <c r="E177" s="57">
        <v>46386</v>
      </c>
      <c r="F177" s="50">
        <f t="shared" si="55"/>
        <v>363</v>
      </c>
      <c r="G177" s="50" t="s">
        <v>787</v>
      </c>
      <c r="H177" s="50" t="s">
        <v>791</v>
      </c>
      <c r="I177" s="72">
        <v>0</v>
      </c>
      <c r="J177" s="51">
        <f t="shared" si="56"/>
        <v>0</v>
      </c>
      <c r="K177" s="626">
        <v>0</v>
      </c>
      <c r="L177" s="72">
        <v>0</v>
      </c>
      <c r="M177" s="72">
        <v>0</v>
      </c>
      <c r="N177" s="72">
        <v>0</v>
      </c>
      <c r="O177" s="72">
        <v>0</v>
      </c>
      <c r="P177" s="51">
        <v>0</v>
      </c>
      <c r="Q177" s="89">
        <v>0</v>
      </c>
      <c r="R177" s="72">
        <v>0</v>
      </c>
      <c r="S177" s="72">
        <v>0</v>
      </c>
      <c r="T177" s="72">
        <v>0</v>
      </c>
      <c r="U177" s="72">
        <v>0</v>
      </c>
      <c r="V177" s="72">
        <v>0</v>
      </c>
      <c r="W177" s="72">
        <v>0</v>
      </c>
      <c r="X177" s="72">
        <v>0</v>
      </c>
      <c r="Y177" s="72">
        <v>0</v>
      </c>
      <c r="Z177" s="72">
        <v>0</v>
      </c>
      <c r="AA177" s="72">
        <v>0</v>
      </c>
      <c r="AB177" s="51">
        <v>0</v>
      </c>
      <c r="AC177" s="89">
        <v>0</v>
      </c>
      <c r="AD177" s="72">
        <v>0</v>
      </c>
      <c r="AE177" s="72">
        <v>0</v>
      </c>
      <c r="AF177" s="72">
        <v>0</v>
      </c>
      <c r="AG177" s="72">
        <v>0</v>
      </c>
      <c r="AH177" s="72">
        <v>0</v>
      </c>
      <c r="AI177" s="72">
        <v>0</v>
      </c>
      <c r="AJ177" s="72">
        <v>0</v>
      </c>
      <c r="AK177" s="72">
        <v>0</v>
      </c>
      <c r="AL177" s="72">
        <v>0</v>
      </c>
      <c r="AM177" s="72">
        <v>0</v>
      </c>
      <c r="AN177" s="51">
        <v>0</v>
      </c>
      <c r="AO177" s="836" t="str">
        <f t="shared" si="45"/>
        <v>Si</v>
      </c>
      <c r="AP177" s="51">
        <f t="shared" si="46"/>
        <v>0</v>
      </c>
    </row>
    <row r="178" spans="2:42" s="47" customFormat="1" x14ac:dyDescent="0.3">
      <c r="B178" s="48" t="s">
        <v>791</v>
      </c>
      <c r="C178" s="71" t="s">
        <v>792</v>
      </c>
      <c r="D178" s="57">
        <v>46023</v>
      </c>
      <c r="E178" s="57">
        <v>46386</v>
      </c>
      <c r="F178" s="50">
        <f t="shared" si="55"/>
        <v>363</v>
      </c>
      <c r="G178" s="50" t="s">
        <v>789</v>
      </c>
      <c r="H178" s="50" t="s">
        <v>793</v>
      </c>
      <c r="I178" s="72">
        <v>0</v>
      </c>
      <c r="J178" s="51">
        <f t="shared" si="56"/>
        <v>0</v>
      </c>
      <c r="K178" s="626">
        <v>0</v>
      </c>
      <c r="L178" s="72">
        <v>0</v>
      </c>
      <c r="M178" s="72">
        <v>0</v>
      </c>
      <c r="N178" s="72">
        <v>0</v>
      </c>
      <c r="O178" s="72">
        <v>0</v>
      </c>
      <c r="P178" s="51">
        <v>0</v>
      </c>
      <c r="Q178" s="89">
        <v>0</v>
      </c>
      <c r="R178" s="72">
        <v>0</v>
      </c>
      <c r="S178" s="72">
        <v>0</v>
      </c>
      <c r="T178" s="72">
        <v>0</v>
      </c>
      <c r="U178" s="72">
        <v>0</v>
      </c>
      <c r="V178" s="72">
        <v>0</v>
      </c>
      <c r="W178" s="72">
        <v>0</v>
      </c>
      <c r="X178" s="72">
        <v>0</v>
      </c>
      <c r="Y178" s="72">
        <v>0</v>
      </c>
      <c r="Z178" s="72">
        <v>0</v>
      </c>
      <c r="AA178" s="72">
        <v>0</v>
      </c>
      <c r="AB178" s="51">
        <v>0</v>
      </c>
      <c r="AC178" s="89">
        <v>0</v>
      </c>
      <c r="AD178" s="72">
        <v>0</v>
      </c>
      <c r="AE178" s="72">
        <v>0</v>
      </c>
      <c r="AF178" s="72">
        <v>0</v>
      </c>
      <c r="AG178" s="72">
        <v>0</v>
      </c>
      <c r="AH178" s="72">
        <v>0</v>
      </c>
      <c r="AI178" s="72">
        <v>0</v>
      </c>
      <c r="AJ178" s="72">
        <v>0</v>
      </c>
      <c r="AK178" s="72">
        <v>0</v>
      </c>
      <c r="AL178" s="72">
        <v>0</v>
      </c>
      <c r="AM178" s="72">
        <v>0</v>
      </c>
      <c r="AN178" s="51">
        <v>0</v>
      </c>
      <c r="AO178" s="836" t="str">
        <f t="shared" si="45"/>
        <v>Si</v>
      </c>
      <c r="AP178" s="51">
        <f t="shared" si="46"/>
        <v>0</v>
      </c>
    </row>
    <row r="179" spans="2:42" s="47" customFormat="1" ht="28.8" x14ac:dyDescent="0.3">
      <c r="B179" s="48" t="s">
        <v>793</v>
      </c>
      <c r="C179" s="71" t="s">
        <v>794</v>
      </c>
      <c r="D179" s="57">
        <v>46023</v>
      </c>
      <c r="E179" s="57">
        <v>46386</v>
      </c>
      <c r="F179" s="50">
        <f t="shared" si="55"/>
        <v>363</v>
      </c>
      <c r="G179" s="50" t="s">
        <v>791</v>
      </c>
      <c r="H179" s="50" t="s">
        <v>491</v>
      </c>
      <c r="I179" s="72">
        <v>0</v>
      </c>
      <c r="J179" s="51">
        <f t="shared" si="56"/>
        <v>0</v>
      </c>
      <c r="K179" s="626">
        <v>0</v>
      </c>
      <c r="L179" s="72">
        <v>0</v>
      </c>
      <c r="M179" s="72">
        <v>0</v>
      </c>
      <c r="N179" s="72">
        <v>0</v>
      </c>
      <c r="O179" s="72">
        <v>0</v>
      </c>
      <c r="P179" s="51">
        <v>0</v>
      </c>
      <c r="Q179" s="89">
        <v>0</v>
      </c>
      <c r="R179" s="72">
        <v>0</v>
      </c>
      <c r="S179" s="72">
        <v>0</v>
      </c>
      <c r="T179" s="72">
        <v>0</v>
      </c>
      <c r="U179" s="72">
        <v>0</v>
      </c>
      <c r="V179" s="72">
        <v>0</v>
      </c>
      <c r="W179" s="72">
        <v>0</v>
      </c>
      <c r="X179" s="72">
        <v>0</v>
      </c>
      <c r="Y179" s="72">
        <v>0</v>
      </c>
      <c r="Z179" s="72">
        <v>0</v>
      </c>
      <c r="AA179" s="72">
        <v>0</v>
      </c>
      <c r="AB179" s="51">
        <v>0</v>
      </c>
      <c r="AC179" s="89">
        <v>0</v>
      </c>
      <c r="AD179" s="72">
        <v>0</v>
      </c>
      <c r="AE179" s="72">
        <v>0</v>
      </c>
      <c r="AF179" s="72">
        <v>0</v>
      </c>
      <c r="AG179" s="72">
        <v>0</v>
      </c>
      <c r="AH179" s="72">
        <v>0</v>
      </c>
      <c r="AI179" s="72">
        <v>0</v>
      </c>
      <c r="AJ179" s="72">
        <v>0</v>
      </c>
      <c r="AK179" s="72">
        <v>0</v>
      </c>
      <c r="AL179" s="72">
        <v>0</v>
      </c>
      <c r="AM179" s="72">
        <v>0</v>
      </c>
      <c r="AN179" s="51">
        <v>0</v>
      </c>
      <c r="AO179" s="836" t="str">
        <f t="shared" si="45"/>
        <v>Si</v>
      </c>
      <c r="AP179" s="51">
        <f t="shared" si="46"/>
        <v>0</v>
      </c>
    </row>
    <row r="180" spans="2:42" x14ac:dyDescent="0.3">
      <c r="B180" s="29" t="s">
        <v>795</v>
      </c>
      <c r="C180" s="19" t="s">
        <v>796</v>
      </c>
      <c r="D180" s="55">
        <f>+D181</f>
        <v>46082</v>
      </c>
      <c r="E180" s="55">
        <f>+E181</f>
        <v>46112</v>
      </c>
      <c r="F180" s="39">
        <f t="shared" si="55"/>
        <v>30</v>
      </c>
      <c r="G180" s="39" t="str">
        <f>+G181</f>
        <v>INICIO</v>
      </c>
      <c r="H180" s="39" t="str">
        <f>+H181</f>
        <v>FIN</v>
      </c>
      <c r="I180" s="64">
        <f>+SUM(I181)</f>
        <v>229250</v>
      </c>
      <c r="J180" s="32">
        <f t="shared" si="56"/>
        <v>3500</v>
      </c>
      <c r="K180" s="564">
        <f t="shared" ref="K180:AN181" si="62">+SUM(K181)</f>
        <v>0</v>
      </c>
      <c r="L180" s="64">
        <f t="shared" si="62"/>
        <v>0</v>
      </c>
      <c r="M180" s="64">
        <f t="shared" si="62"/>
        <v>0</v>
      </c>
      <c r="N180" s="64">
        <f t="shared" si="62"/>
        <v>0</v>
      </c>
      <c r="O180" s="64">
        <f t="shared" si="62"/>
        <v>0</v>
      </c>
      <c r="P180" s="32">
        <f t="shared" si="62"/>
        <v>0</v>
      </c>
      <c r="Q180" s="83">
        <f t="shared" si="62"/>
        <v>0</v>
      </c>
      <c r="R180" s="64">
        <f t="shared" si="62"/>
        <v>0</v>
      </c>
      <c r="S180" s="64">
        <f t="shared" si="62"/>
        <v>3500</v>
      </c>
      <c r="T180" s="64">
        <f t="shared" si="62"/>
        <v>0</v>
      </c>
      <c r="U180" s="64">
        <f t="shared" si="62"/>
        <v>0</v>
      </c>
      <c r="V180" s="64">
        <f t="shared" si="62"/>
        <v>0</v>
      </c>
      <c r="W180" s="64">
        <f t="shared" si="62"/>
        <v>0</v>
      </c>
      <c r="X180" s="64">
        <f t="shared" si="62"/>
        <v>0</v>
      </c>
      <c r="Y180" s="64">
        <f t="shared" si="62"/>
        <v>0</v>
      </c>
      <c r="Z180" s="64">
        <f t="shared" si="62"/>
        <v>0</v>
      </c>
      <c r="AA180" s="64">
        <f t="shared" si="62"/>
        <v>0</v>
      </c>
      <c r="AB180" s="32">
        <f t="shared" si="62"/>
        <v>0</v>
      </c>
      <c r="AC180" s="83">
        <f t="shared" si="62"/>
        <v>0</v>
      </c>
      <c r="AD180" s="64">
        <f t="shared" si="62"/>
        <v>0</v>
      </c>
      <c r="AE180" s="64">
        <f t="shared" si="62"/>
        <v>0</v>
      </c>
      <c r="AF180" s="64">
        <f t="shared" si="62"/>
        <v>0</v>
      </c>
      <c r="AG180" s="64">
        <f t="shared" si="62"/>
        <v>0</v>
      </c>
      <c r="AH180" s="64">
        <f t="shared" si="62"/>
        <v>0</v>
      </c>
      <c r="AI180" s="64">
        <f t="shared" si="62"/>
        <v>0</v>
      </c>
      <c r="AJ180" s="64">
        <f t="shared" si="62"/>
        <v>0</v>
      </c>
      <c r="AK180" s="64">
        <f t="shared" si="62"/>
        <v>0</v>
      </c>
      <c r="AL180" s="64">
        <f t="shared" si="62"/>
        <v>0</v>
      </c>
      <c r="AM180" s="64">
        <f t="shared" si="62"/>
        <v>0</v>
      </c>
      <c r="AN180" s="32">
        <f t="shared" si="62"/>
        <v>0</v>
      </c>
      <c r="AO180" s="832" t="str">
        <f t="shared" si="45"/>
        <v>Si</v>
      </c>
      <c r="AP180" s="32">
        <f t="shared" si="46"/>
        <v>3500</v>
      </c>
    </row>
    <row r="181" spans="2:42" x14ac:dyDescent="0.3">
      <c r="B181" s="30" t="s">
        <v>797</v>
      </c>
      <c r="C181" s="2" t="s">
        <v>798</v>
      </c>
      <c r="D181" s="56">
        <f>+D182</f>
        <v>46082</v>
      </c>
      <c r="E181" s="56">
        <f>+E182</f>
        <v>46112</v>
      </c>
      <c r="F181" s="41">
        <f t="shared" si="55"/>
        <v>30</v>
      </c>
      <c r="G181" s="41" t="str">
        <f>+G182</f>
        <v>INICIO</v>
      </c>
      <c r="H181" s="41" t="str">
        <f>+H182</f>
        <v>FIN</v>
      </c>
      <c r="I181" s="70">
        <f>+SUM(I182)</f>
        <v>229250</v>
      </c>
      <c r="J181" s="34">
        <f t="shared" si="56"/>
        <v>3500</v>
      </c>
      <c r="K181" s="625">
        <f t="shared" si="62"/>
        <v>0</v>
      </c>
      <c r="L181" s="70">
        <f t="shared" si="62"/>
        <v>0</v>
      </c>
      <c r="M181" s="70">
        <f t="shared" si="62"/>
        <v>0</v>
      </c>
      <c r="N181" s="70">
        <f t="shared" si="62"/>
        <v>0</v>
      </c>
      <c r="O181" s="70">
        <f t="shared" si="62"/>
        <v>0</v>
      </c>
      <c r="P181" s="34">
        <f t="shared" si="62"/>
        <v>0</v>
      </c>
      <c r="Q181" s="88">
        <v>0</v>
      </c>
      <c r="R181" s="70">
        <f t="shared" si="62"/>
        <v>0</v>
      </c>
      <c r="S181" s="70">
        <f t="shared" si="62"/>
        <v>3500</v>
      </c>
      <c r="T181" s="70">
        <f t="shared" si="62"/>
        <v>0</v>
      </c>
      <c r="U181" s="70">
        <f t="shared" si="62"/>
        <v>0</v>
      </c>
      <c r="V181" s="70">
        <f t="shared" si="62"/>
        <v>0</v>
      </c>
      <c r="W181" s="70">
        <f t="shared" si="62"/>
        <v>0</v>
      </c>
      <c r="X181" s="70">
        <f t="shared" si="62"/>
        <v>0</v>
      </c>
      <c r="Y181" s="70">
        <f t="shared" si="62"/>
        <v>0</v>
      </c>
      <c r="Z181" s="70">
        <f t="shared" si="62"/>
        <v>0</v>
      </c>
      <c r="AA181" s="70">
        <f t="shared" si="62"/>
        <v>0</v>
      </c>
      <c r="AB181" s="34">
        <f t="shared" si="62"/>
        <v>0</v>
      </c>
      <c r="AC181" s="88">
        <f t="shared" si="62"/>
        <v>0</v>
      </c>
      <c r="AD181" s="70">
        <f t="shared" si="62"/>
        <v>0</v>
      </c>
      <c r="AE181" s="70">
        <f t="shared" si="62"/>
        <v>0</v>
      </c>
      <c r="AF181" s="70">
        <f t="shared" si="62"/>
        <v>0</v>
      </c>
      <c r="AG181" s="70">
        <f t="shared" si="62"/>
        <v>0</v>
      </c>
      <c r="AH181" s="70">
        <f t="shared" si="62"/>
        <v>0</v>
      </c>
      <c r="AI181" s="70">
        <f t="shared" si="62"/>
        <v>0</v>
      </c>
      <c r="AJ181" s="70">
        <f t="shared" si="62"/>
        <v>0</v>
      </c>
      <c r="AK181" s="70">
        <f t="shared" si="62"/>
        <v>0</v>
      </c>
      <c r="AL181" s="70">
        <f t="shared" si="62"/>
        <v>0</v>
      </c>
      <c r="AM181" s="70">
        <f t="shared" si="62"/>
        <v>0</v>
      </c>
      <c r="AN181" s="34">
        <f t="shared" si="62"/>
        <v>0</v>
      </c>
      <c r="AO181" s="835" t="str">
        <f t="shared" si="45"/>
        <v>Si</v>
      </c>
      <c r="AP181" s="34">
        <f t="shared" si="46"/>
        <v>3500</v>
      </c>
    </row>
    <row r="182" spans="2:42" s="47" customFormat="1" x14ac:dyDescent="0.3">
      <c r="B182" s="48" t="s">
        <v>799</v>
      </c>
      <c r="C182" s="52" t="s">
        <v>800</v>
      </c>
      <c r="D182" s="57">
        <v>46082</v>
      </c>
      <c r="E182" s="57">
        <v>46112</v>
      </c>
      <c r="F182" s="50">
        <f t="shared" si="55"/>
        <v>30</v>
      </c>
      <c r="G182" s="50" t="s">
        <v>490</v>
      </c>
      <c r="H182" s="50" t="s">
        <v>491</v>
      </c>
      <c r="I182" s="72">
        <f>3500*65.5</f>
        <v>229250</v>
      </c>
      <c r="J182" s="51">
        <f t="shared" si="56"/>
        <v>3500</v>
      </c>
      <c r="K182" s="626">
        <v>0</v>
      </c>
      <c r="L182" s="72">
        <v>0</v>
      </c>
      <c r="M182" s="72">
        <v>0</v>
      </c>
      <c r="N182" s="72">
        <v>0</v>
      </c>
      <c r="O182" s="72">
        <v>0</v>
      </c>
      <c r="P182" s="51">
        <v>0</v>
      </c>
      <c r="Q182" s="133">
        <v>0</v>
      </c>
      <c r="R182" s="131">
        <v>0</v>
      </c>
      <c r="S182" s="131">
        <v>3500</v>
      </c>
      <c r="T182" s="131">
        <v>0</v>
      </c>
      <c r="U182" s="131">
        <v>0</v>
      </c>
      <c r="V182" s="131">
        <v>0</v>
      </c>
      <c r="W182" s="131">
        <v>0</v>
      </c>
      <c r="X182" s="131">
        <v>0</v>
      </c>
      <c r="Y182" s="131">
        <v>0</v>
      </c>
      <c r="Z182" s="131">
        <v>0</v>
      </c>
      <c r="AA182" s="131">
        <v>0</v>
      </c>
      <c r="AB182" s="132">
        <v>0</v>
      </c>
      <c r="AC182" s="133">
        <v>0</v>
      </c>
      <c r="AD182" s="131">
        <v>0</v>
      </c>
      <c r="AE182" s="131">
        <v>0</v>
      </c>
      <c r="AF182" s="131">
        <v>0</v>
      </c>
      <c r="AG182" s="131">
        <v>0</v>
      </c>
      <c r="AH182" s="131">
        <v>0</v>
      </c>
      <c r="AI182" s="131">
        <v>0</v>
      </c>
      <c r="AJ182" s="131">
        <v>0</v>
      </c>
      <c r="AK182" s="131">
        <v>0</v>
      </c>
      <c r="AL182" s="131">
        <v>0</v>
      </c>
      <c r="AM182" s="131">
        <v>0</v>
      </c>
      <c r="AN182" s="132">
        <v>0</v>
      </c>
      <c r="AO182" s="837" t="str">
        <f t="shared" si="45"/>
        <v>Si</v>
      </c>
      <c r="AP182" s="132">
        <f t="shared" si="46"/>
        <v>3500</v>
      </c>
    </row>
    <row r="183" spans="2:42" x14ac:dyDescent="0.3">
      <c r="B183" s="29" t="s">
        <v>207</v>
      </c>
      <c r="C183" s="19" t="s">
        <v>208</v>
      </c>
      <c r="D183" s="55">
        <v>46023</v>
      </c>
      <c r="E183" s="55">
        <v>46568</v>
      </c>
      <c r="F183" s="39">
        <f t="shared" si="55"/>
        <v>545</v>
      </c>
      <c r="G183" s="39" t="s">
        <v>490</v>
      </c>
      <c r="H183" s="39" t="s">
        <v>491</v>
      </c>
      <c r="I183" s="392">
        <f>963600*65.5</f>
        <v>63115800</v>
      </c>
      <c r="J183" s="32">
        <f>+I183/$J$13</f>
        <v>963600</v>
      </c>
      <c r="K183" s="564">
        <v>0</v>
      </c>
      <c r="L183" s="64">
        <v>0</v>
      </c>
      <c r="M183" s="64">
        <v>0</v>
      </c>
      <c r="N183" s="64">
        <v>0</v>
      </c>
      <c r="O183" s="64">
        <v>0</v>
      </c>
      <c r="P183" s="32">
        <v>0</v>
      </c>
      <c r="Q183" s="83">
        <v>3216.666666666667</v>
      </c>
      <c r="R183" s="64">
        <v>53216.666666666664</v>
      </c>
      <c r="S183" s="64">
        <v>53216.666666666664</v>
      </c>
      <c r="T183" s="64">
        <v>53216.666666666664</v>
      </c>
      <c r="U183" s="64">
        <v>53216.666666666664</v>
      </c>
      <c r="V183" s="64">
        <v>53216.666666666664</v>
      </c>
      <c r="W183" s="64">
        <v>53216.666666666664</v>
      </c>
      <c r="X183" s="64">
        <v>53216.666666666664</v>
      </c>
      <c r="Y183" s="64">
        <v>3216.666666666667</v>
      </c>
      <c r="Z183" s="64">
        <v>3216.666666666667</v>
      </c>
      <c r="AA183" s="64">
        <v>3216.666666666667</v>
      </c>
      <c r="AB183" s="32">
        <v>3216.666666666667</v>
      </c>
      <c r="AC183" s="83">
        <v>142857.14285714287</v>
      </c>
      <c r="AD183" s="64">
        <v>142857.14285714287</v>
      </c>
      <c r="AE183" s="64">
        <v>142857.14285714287</v>
      </c>
      <c r="AF183" s="64">
        <v>26190.476190476191</v>
      </c>
      <c r="AG183" s="64">
        <v>26190.476190476191</v>
      </c>
      <c r="AH183" s="64">
        <v>26190.476190476191</v>
      </c>
      <c r="AI183" s="64">
        <v>26190.476190476191</v>
      </c>
      <c r="AJ183" s="64">
        <v>8333.3333333333339</v>
      </c>
      <c r="AK183" s="64">
        <v>8333.3333333333339</v>
      </c>
      <c r="AL183" s="64">
        <v>8333.3333333333339</v>
      </c>
      <c r="AM183" s="64">
        <v>8333.3333333333339</v>
      </c>
      <c r="AN183" s="32">
        <v>8333.3333333333339</v>
      </c>
      <c r="AO183" s="838" t="str">
        <f>IF(SUM(K183:AN183)=J183,"Si","No")</f>
        <v>Si</v>
      </c>
      <c r="AP183" s="32">
        <f t="shared" si="46"/>
        <v>963600.00000000035</v>
      </c>
    </row>
    <row r="184" spans="2:42" ht="15" thickBot="1" x14ac:dyDescent="0.35">
      <c r="B184" s="544" t="s">
        <v>221</v>
      </c>
      <c r="C184" s="438" t="s">
        <v>222</v>
      </c>
      <c r="D184" s="439">
        <v>46023</v>
      </c>
      <c r="E184" s="439">
        <v>46568</v>
      </c>
      <c r="F184" s="545">
        <f t="shared" si="55"/>
        <v>545</v>
      </c>
      <c r="G184" s="545" t="s">
        <v>490</v>
      </c>
      <c r="H184" s="545" t="s">
        <v>491</v>
      </c>
      <c r="I184" s="546">
        <f>715375.99*65.5</f>
        <v>46857127.344999999</v>
      </c>
      <c r="J184" s="549">
        <f>+I184/$J$13</f>
        <v>715375.99</v>
      </c>
      <c r="K184" s="572">
        <v>0</v>
      </c>
      <c r="L184" s="548">
        <v>0</v>
      </c>
      <c r="M184" s="548">
        <v>0</v>
      </c>
      <c r="N184" s="548">
        <v>0</v>
      </c>
      <c r="O184" s="548">
        <v>0</v>
      </c>
      <c r="P184" s="549">
        <v>0</v>
      </c>
      <c r="Q184" s="547">
        <v>0</v>
      </c>
      <c r="R184" s="548">
        <v>37649.827904761907</v>
      </c>
      <c r="S184" s="548">
        <v>8649.8279047619053</v>
      </c>
      <c r="T184" s="548">
        <v>45316.494571428579</v>
      </c>
      <c r="U184" s="548">
        <v>61030.780285714289</v>
      </c>
      <c r="V184" s="548">
        <v>61030.780285714289</v>
      </c>
      <c r="W184" s="548">
        <v>61030.780285714274</v>
      </c>
      <c r="X184" s="548">
        <v>61030.780285714289</v>
      </c>
      <c r="Y184" s="548">
        <v>115459.35171428572</v>
      </c>
      <c r="Z184" s="548">
        <v>80792.68504761903</v>
      </c>
      <c r="AA184" s="548">
        <v>40792.685047619052</v>
      </c>
      <c r="AB184" s="549">
        <v>5078.3993333333337</v>
      </c>
      <c r="AC184" s="547">
        <v>5078.3993333333337</v>
      </c>
      <c r="AD184" s="548">
        <v>8918.3993333333328</v>
      </c>
      <c r="AE184" s="548">
        <v>23078.399333333331</v>
      </c>
      <c r="AF184" s="548">
        <v>89078.39933333332</v>
      </c>
      <c r="AG184" s="548">
        <v>0</v>
      </c>
      <c r="AH184" s="548">
        <v>7360</v>
      </c>
      <c r="AI184" s="548">
        <v>0</v>
      </c>
      <c r="AJ184" s="548">
        <v>4000</v>
      </c>
      <c r="AK184" s="548">
        <v>0</v>
      </c>
      <c r="AL184" s="548">
        <v>0</v>
      </c>
      <c r="AM184" s="548">
        <v>0</v>
      </c>
      <c r="AN184" s="549">
        <v>0</v>
      </c>
      <c r="AO184" s="838" t="str">
        <f>IF(SUM(K184:AN184)=J184,"Si","No")</f>
        <v>Si</v>
      </c>
      <c r="AP184" s="549">
        <f t="shared" si="46"/>
        <v>715375.99000000011</v>
      </c>
    </row>
    <row r="185" spans="2:42" ht="28.8" x14ac:dyDescent="0.3">
      <c r="B185" s="550" t="s">
        <v>801</v>
      </c>
      <c r="C185" s="551" t="s">
        <v>802</v>
      </c>
      <c r="D185" s="552">
        <v>46023</v>
      </c>
      <c r="E185" s="552">
        <v>46752</v>
      </c>
      <c r="F185" s="553">
        <v>729</v>
      </c>
      <c r="G185" s="553" t="s">
        <v>490</v>
      </c>
      <c r="H185" s="553" t="s">
        <v>491</v>
      </c>
      <c r="I185" s="554">
        <f>+I186</f>
        <v>162440000</v>
      </c>
      <c r="J185" s="556">
        <f t="shared" si="56"/>
        <v>2480000</v>
      </c>
      <c r="K185" s="627">
        <f t="shared" ref="K185:AN185" si="63">+K186</f>
        <v>0</v>
      </c>
      <c r="L185" s="554">
        <f t="shared" si="63"/>
        <v>0</v>
      </c>
      <c r="M185" s="554">
        <f t="shared" si="63"/>
        <v>0</v>
      </c>
      <c r="N185" s="554">
        <f t="shared" si="63"/>
        <v>0</v>
      </c>
      <c r="O185" s="554">
        <f t="shared" si="63"/>
        <v>0</v>
      </c>
      <c r="P185" s="556">
        <f t="shared" si="63"/>
        <v>0</v>
      </c>
      <c r="Q185" s="555">
        <f t="shared" si="63"/>
        <v>3333.3333333333335</v>
      </c>
      <c r="R185" s="554">
        <f t="shared" si="63"/>
        <v>3333.3333333333335</v>
      </c>
      <c r="S185" s="554">
        <f t="shared" si="63"/>
        <v>3333.3333333333335</v>
      </c>
      <c r="T185" s="554">
        <f t="shared" si="63"/>
        <v>17619.047619047618</v>
      </c>
      <c r="U185" s="554">
        <f t="shared" si="63"/>
        <v>17619.047619047618</v>
      </c>
      <c r="V185" s="554">
        <f t="shared" si="63"/>
        <v>17619.047619047618</v>
      </c>
      <c r="W185" s="554">
        <f t="shared" si="63"/>
        <v>68035.71428571429</v>
      </c>
      <c r="X185" s="554">
        <f t="shared" si="63"/>
        <v>198035.71428571429</v>
      </c>
      <c r="Y185" s="554">
        <f t="shared" si="63"/>
        <v>63035.71428571429</v>
      </c>
      <c r="Z185" s="554">
        <f t="shared" si="63"/>
        <v>28035.71428571429</v>
      </c>
      <c r="AA185" s="554">
        <f t="shared" si="63"/>
        <v>13750.000000000002</v>
      </c>
      <c r="AB185" s="556">
        <f t="shared" si="63"/>
        <v>53750</v>
      </c>
      <c r="AC185" s="555">
        <f t="shared" si="63"/>
        <v>542708.33333333337</v>
      </c>
      <c r="AD185" s="554">
        <f t="shared" si="63"/>
        <v>69375</v>
      </c>
      <c r="AE185" s="554">
        <f t="shared" si="63"/>
        <v>169375.00000000003</v>
      </c>
      <c r="AF185" s="554">
        <f t="shared" si="63"/>
        <v>464375</v>
      </c>
      <c r="AG185" s="554">
        <f t="shared" si="63"/>
        <v>210625</v>
      </c>
      <c r="AH185" s="554">
        <f t="shared" si="63"/>
        <v>25625</v>
      </c>
      <c r="AI185" s="554">
        <f t="shared" si="63"/>
        <v>370625</v>
      </c>
      <c r="AJ185" s="554">
        <f t="shared" si="63"/>
        <v>18958.333333333332</v>
      </c>
      <c r="AK185" s="554">
        <f t="shared" si="63"/>
        <v>63958.333333333328</v>
      </c>
      <c r="AL185" s="554">
        <f t="shared" si="63"/>
        <v>18958.333333333332</v>
      </c>
      <c r="AM185" s="554">
        <f t="shared" si="63"/>
        <v>18958.333333333332</v>
      </c>
      <c r="AN185" s="556">
        <f t="shared" si="63"/>
        <v>18958.333333333332</v>
      </c>
      <c r="AO185" s="839" t="str">
        <f>IF(SUM(K185:AN185)=J185,"Si","No")</f>
        <v>Si</v>
      </c>
      <c r="AP185" s="556">
        <f t="shared" si="46"/>
        <v>2480000.0000000009</v>
      </c>
    </row>
    <row r="186" spans="2:42" x14ac:dyDescent="0.3">
      <c r="B186" s="27" t="s">
        <v>803</v>
      </c>
      <c r="C186" s="15" t="s">
        <v>804</v>
      </c>
      <c r="D186" s="53">
        <v>46023</v>
      </c>
      <c r="E186" s="53">
        <v>46752</v>
      </c>
      <c r="F186" s="37">
        <v>729</v>
      </c>
      <c r="G186" s="37" t="s">
        <v>490</v>
      </c>
      <c r="H186" s="37" t="s">
        <v>491</v>
      </c>
      <c r="I186" s="62">
        <f>+SUM(I191,I187,I195)</f>
        <v>162440000</v>
      </c>
      <c r="J186" s="31">
        <f t="shared" si="56"/>
        <v>2480000</v>
      </c>
      <c r="K186" s="620">
        <f>+SUM(K191,K187,K195)</f>
        <v>0</v>
      </c>
      <c r="L186" s="62">
        <f t="shared" ref="L186:AN186" si="64">+SUM(L191,L187,L195)</f>
        <v>0</v>
      </c>
      <c r="M186" s="62">
        <f t="shared" si="64"/>
        <v>0</v>
      </c>
      <c r="N186" s="62">
        <f t="shared" si="64"/>
        <v>0</v>
      </c>
      <c r="O186" s="62">
        <f t="shared" si="64"/>
        <v>0</v>
      </c>
      <c r="P186" s="31">
        <f t="shared" si="64"/>
        <v>0</v>
      </c>
      <c r="Q186" s="82">
        <f t="shared" si="64"/>
        <v>3333.3333333333335</v>
      </c>
      <c r="R186" s="62">
        <f t="shared" si="64"/>
        <v>3333.3333333333335</v>
      </c>
      <c r="S186" s="62">
        <f t="shared" si="64"/>
        <v>3333.3333333333335</v>
      </c>
      <c r="T186" s="62">
        <f t="shared" si="64"/>
        <v>17619.047619047618</v>
      </c>
      <c r="U186" s="62">
        <f t="shared" si="64"/>
        <v>17619.047619047618</v>
      </c>
      <c r="V186" s="62">
        <f t="shared" si="64"/>
        <v>17619.047619047618</v>
      </c>
      <c r="W186" s="62">
        <f t="shared" si="64"/>
        <v>68035.71428571429</v>
      </c>
      <c r="X186" s="62">
        <f t="shared" si="64"/>
        <v>198035.71428571429</v>
      </c>
      <c r="Y186" s="62">
        <f t="shared" si="64"/>
        <v>63035.71428571429</v>
      </c>
      <c r="Z186" s="62">
        <f t="shared" si="64"/>
        <v>28035.71428571429</v>
      </c>
      <c r="AA186" s="62">
        <f t="shared" si="64"/>
        <v>13750.000000000002</v>
      </c>
      <c r="AB186" s="31">
        <f t="shared" si="64"/>
        <v>53750</v>
      </c>
      <c r="AC186" s="82">
        <f t="shared" si="64"/>
        <v>542708.33333333337</v>
      </c>
      <c r="AD186" s="62">
        <f t="shared" si="64"/>
        <v>69375</v>
      </c>
      <c r="AE186" s="62">
        <f t="shared" si="64"/>
        <v>169375.00000000003</v>
      </c>
      <c r="AF186" s="62">
        <f t="shared" si="64"/>
        <v>464375</v>
      </c>
      <c r="AG186" s="62">
        <f t="shared" si="64"/>
        <v>210625</v>
      </c>
      <c r="AH186" s="62">
        <f t="shared" si="64"/>
        <v>25625</v>
      </c>
      <c r="AI186" s="62">
        <f t="shared" si="64"/>
        <v>370625</v>
      </c>
      <c r="AJ186" s="62">
        <f t="shared" si="64"/>
        <v>18958.333333333332</v>
      </c>
      <c r="AK186" s="62">
        <f t="shared" si="64"/>
        <v>63958.333333333328</v>
      </c>
      <c r="AL186" s="62">
        <f t="shared" si="64"/>
        <v>18958.333333333332</v>
      </c>
      <c r="AM186" s="62">
        <f t="shared" si="64"/>
        <v>18958.333333333332</v>
      </c>
      <c r="AN186" s="31">
        <f t="shared" si="64"/>
        <v>18958.333333333332</v>
      </c>
      <c r="AO186" s="830" t="str">
        <f>IF(SUM(K186:AN186)=J186,"Si","No")</f>
        <v>Si</v>
      </c>
      <c r="AP186" s="31">
        <f t="shared" si="46"/>
        <v>2480000.0000000009</v>
      </c>
    </row>
    <row r="187" spans="2:42" ht="28.8" x14ac:dyDescent="0.3">
      <c r="B187" s="29" t="s">
        <v>240</v>
      </c>
      <c r="C187" s="19" t="s">
        <v>239</v>
      </c>
      <c r="D187" s="55">
        <v>46023</v>
      </c>
      <c r="E187" s="55">
        <v>46752</v>
      </c>
      <c r="F187" s="39">
        <f t="shared" si="55"/>
        <v>729</v>
      </c>
      <c r="G187" s="39" t="s">
        <v>490</v>
      </c>
      <c r="H187" s="39" t="s">
        <v>491</v>
      </c>
      <c r="I187" s="64">
        <f>+SUM(I188:I190)+230000*65.5</f>
        <v>15065000</v>
      </c>
      <c r="J187" s="32">
        <v>230000</v>
      </c>
      <c r="K187" s="564">
        <v>0</v>
      </c>
      <c r="L187" s="64">
        <v>0</v>
      </c>
      <c r="M187" s="64">
        <v>0</v>
      </c>
      <c r="N187" s="64">
        <v>0</v>
      </c>
      <c r="O187" s="64">
        <v>0</v>
      </c>
      <c r="P187" s="32">
        <v>0</v>
      </c>
      <c r="Q187" s="83">
        <v>3333.3333333333335</v>
      </c>
      <c r="R187" s="64">
        <v>3333.3333333333335</v>
      </c>
      <c r="S187" s="64">
        <v>3333.3333333333335</v>
      </c>
      <c r="T187" s="392">
        <v>10476.190476190477</v>
      </c>
      <c r="U187" s="64">
        <v>10476.190476190477</v>
      </c>
      <c r="V187" s="64">
        <v>10476.190476190477</v>
      </c>
      <c r="W187" s="64">
        <v>10476.190476190477</v>
      </c>
      <c r="X187" s="392">
        <v>30476.190476190477</v>
      </c>
      <c r="Y187" s="392">
        <v>10476.190476190477</v>
      </c>
      <c r="Z187" s="392">
        <v>10476.190476190477</v>
      </c>
      <c r="AA187" s="392">
        <v>3333.3333333333335</v>
      </c>
      <c r="AB187" s="32">
        <v>3333.3333333333335</v>
      </c>
      <c r="AC187" s="744">
        <v>43333.333333333336</v>
      </c>
      <c r="AD187" s="64">
        <v>3333.3333333333335</v>
      </c>
      <c r="AE187" s="64">
        <v>3333.3333333333335</v>
      </c>
      <c r="AF187" s="64">
        <v>3333.3333333333335</v>
      </c>
      <c r="AG187" s="64">
        <v>23333.333333333332</v>
      </c>
      <c r="AH187" s="392">
        <v>3333.3333333333335</v>
      </c>
      <c r="AI187" s="392">
        <v>23333.333333333332</v>
      </c>
      <c r="AJ187" s="64">
        <v>3333.3333333333335</v>
      </c>
      <c r="AK187" s="64">
        <v>3333.3333333333335</v>
      </c>
      <c r="AL187" s="64">
        <v>3333.3333333333335</v>
      </c>
      <c r="AM187" s="64">
        <v>3333.3333333333335</v>
      </c>
      <c r="AN187" s="32">
        <v>3333.3333333333335</v>
      </c>
      <c r="AO187" s="832" t="str">
        <f t="shared" ref="AO187:AO195" si="65">IF(SUM(K187:AN187)=J187,"Si","No")</f>
        <v>Si</v>
      </c>
      <c r="AP187" s="32">
        <f t="shared" si="46"/>
        <v>230000.00000000009</v>
      </c>
    </row>
    <row r="188" spans="2:42" ht="28.8" x14ac:dyDescent="0.3">
      <c r="B188" s="30" t="s">
        <v>805</v>
      </c>
      <c r="C188" s="2" t="s">
        <v>806</v>
      </c>
      <c r="D188" s="56">
        <v>46023</v>
      </c>
      <c r="E188" s="56">
        <v>46234</v>
      </c>
      <c r="F188" s="41">
        <f t="shared" si="55"/>
        <v>211</v>
      </c>
      <c r="G188" s="41" t="s">
        <v>490</v>
      </c>
      <c r="H188" s="41" t="s">
        <v>807</v>
      </c>
      <c r="I188" s="70">
        <v>0</v>
      </c>
      <c r="J188" s="34">
        <f t="shared" si="56"/>
        <v>0</v>
      </c>
      <c r="K188" s="625">
        <v>0</v>
      </c>
      <c r="L188" s="70">
        <v>0</v>
      </c>
      <c r="M188" s="70">
        <v>0</v>
      </c>
      <c r="N188" s="70">
        <v>0</v>
      </c>
      <c r="O188" s="70">
        <v>0</v>
      </c>
      <c r="P188" s="34">
        <v>0</v>
      </c>
      <c r="Q188" s="88">
        <v>0</v>
      </c>
      <c r="R188" s="70">
        <v>0</v>
      </c>
      <c r="S188" s="70">
        <v>0</v>
      </c>
      <c r="T188" s="70">
        <v>0</v>
      </c>
      <c r="U188" s="70">
        <v>0</v>
      </c>
      <c r="V188" s="70">
        <v>0</v>
      </c>
      <c r="W188" s="70">
        <v>0</v>
      </c>
      <c r="X188" s="70">
        <v>0</v>
      </c>
      <c r="Y188" s="70">
        <v>0</v>
      </c>
      <c r="Z188" s="70">
        <v>0</v>
      </c>
      <c r="AA188" s="70">
        <v>0</v>
      </c>
      <c r="AB188" s="34">
        <v>0</v>
      </c>
      <c r="AC188" s="88">
        <v>0</v>
      </c>
      <c r="AD188" s="70">
        <v>0</v>
      </c>
      <c r="AE188" s="70">
        <v>0</v>
      </c>
      <c r="AF188" s="70">
        <v>0</v>
      </c>
      <c r="AG188" s="70">
        <v>0</v>
      </c>
      <c r="AH188" s="70">
        <v>0</v>
      </c>
      <c r="AI188" s="70">
        <v>0</v>
      </c>
      <c r="AJ188" s="70">
        <v>0</v>
      </c>
      <c r="AK188" s="70">
        <v>0</v>
      </c>
      <c r="AL188" s="70">
        <v>0</v>
      </c>
      <c r="AM188" s="70">
        <v>0</v>
      </c>
      <c r="AN188" s="34">
        <v>0</v>
      </c>
      <c r="AO188" s="835" t="str">
        <f t="shared" si="65"/>
        <v>Si</v>
      </c>
      <c r="AP188" s="34">
        <f t="shared" si="46"/>
        <v>0</v>
      </c>
    </row>
    <row r="189" spans="2:42" x14ac:dyDescent="0.3">
      <c r="B189" s="30" t="s">
        <v>808</v>
      </c>
      <c r="C189" s="2" t="s">
        <v>809</v>
      </c>
      <c r="D189" s="56">
        <v>46235</v>
      </c>
      <c r="E189" s="56">
        <v>46566</v>
      </c>
      <c r="F189" s="41">
        <f t="shared" si="55"/>
        <v>331</v>
      </c>
      <c r="G189" s="41" t="s">
        <v>810</v>
      </c>
      <c r="H189" s="41" t="s">
        <v>811</v>
      </c>
      <c r="I189" s="70">
        <v>0</v>
      </c>
      <c r="J189" s="34">
        <f t="shared" si="56"/>
        <v>0</v>
      </c>
      <c r="K189" s="625">
        <v>0</v>
      </c>
      <c r="L189" s="70">
        <v>0</v>
      </c>
      <c r="M189" s="70">
        <v>0</v>
      </c>
      <c r="N189" s="70">
        <v>0</v>
      </c>
      <c r="O189" s="70">
        <v>0</v>
      </c>
      <c r="P189" s="34">
        <v>0</v>
      </c>
      <c r="Q189" s="88">
        <v>0</v>
      </c>
      <c r="R189" s="70">
        <v>0</v>
      </c>
      <c r="S189" s="70">
        <v>0</v>
      </c>
      <c r="T189" s="70">
        <v>0</v>
      </c>
      <c r="U189" s="70">
        <v>0</v>
      </c>
      <c r="V189" s="70">
        <v>0</v>
      </c>
      <c r="W189" s="70">
        <v>0</v>
      </c>
      <c r="X189" s="70">
        <v>0</v>
      </c>
      <c r="Y189" s="70">
        <v>0</v>
      </c>
      <c r="Z189" s="70">
        <v>0</v>
      </c>
      <c r="AA189" s="70">
        <v>0</v>
      </c>
      <c r="AB189" s="34">
        <v>0</v>
      </c>
      <c r="AC189" s="88">
        <v>0</v>
      </c>
      <c r="AD189" s="70">
        <v>0</v>
      </c>
      <c r="AE189" s="70">
        <v>0</v>
      </c>
      <c r="AF189" s="70">
        <v>0</v>
      </c>
      <c r="AG189" s="70">
        <v>0</v>
      </c>
      <c r="AH189" s="70">
        <v>0</v>
      </c>
      <c r="AI189" s="70">
        <v>0</v>
      </c>
      <c r="AJ189" s="70">
        <v>0</v>
      </c>
      <c r="AK189" s="70">
        <v>0</v>
      </c>
      <c r="AL189" s="70">
        <v>0</v>
      </c>
      <c r="AM189" s="70">
        <v>0</v>
      </c>
      <c r="AN189" s="34">
        <v>0</v>
      </c>
      <c r="AO189" s="835" t="str">
        <f t="shared" si="65"/>
        <v>Si</v>
      </c>
      <c r="AP189" s="34">
        <f t="shared" si="46"/>
        <v>0</v>
      </c>
    </row>
    <row r="190" spans="2:42" x14ac:dyDescent="0.3">
      <c r="B190" s="30" t="s">
        <v>812</v>
      </c>
      <c r="C190" s="2" t="s">
        <v>813</v>
      </c>
      <c r="D190" s="56">
        <v>46569</v>
      </c>
      <c r="E190" s="56">
        <v>46736</v>
      </c>
      <c r="F190" s="41">
        <f t="shared" si="55"/>
        <v>167</v>
      </c>
      <c r="G190" s="41" t="s">
        <v>807</v>
      </c>
      <c r="H190" s="41" t="s">
        <v>491</v>
      </c>
      <c r="I190" s="70">
        <v>0</v>
      </c>
      <c r="J190" s="34">
        <f t="shared" si="56"/>
        <v>0</v>
      </c>
      <c r="K190" s="625">
        <v>0</v>
      </c>
      <c r="L190" s="70">
        <v>0</v>
      </c>
      <c r="M190" s="70">
        <v>0</v>
      </c>
      <c r="N190" s="70">
        <v>0</v>
      </c>
      <c r="O190" s="70">
        <v>0</v>
      </c>
      <c r="P190" s="34">
        <v>0</v>
      </c>
      <c r="Q190" s="88">
        <v>0</v>
      </c>
      <c r="R190" s="70">
        <v>0</v>
      </c>
      <c r="S190" s="70">
        <v>0</v>
      </c>
      <c r="T190" s="70">
        <v>0</v>
      </c>
      <c r="U190" s="70">
        <v>0</v>
      </c>
      <c r="V190" s="70">
        <v>0</v>
      </c>
      <c r="W190" s="70">
        <v>0</v>
      </c>
      <c r="X190" s="70">
        <v>0</v>
      </c>
      <c r="Y190" s="70">
        <v>0</v>
      </c>
      <c r="Z190" s="70">
        <v>0</v>
      </c>
      <c r="AA190" s="70">
        <v>0</v>
      </c>
      <c r="AB190" s="34">
        <v>0</v>
      </c>
      <c r="AC190" s="88">
        <v>0</v>
      </c>
      <c r="AD190" s="70">
        <v>0</v>
      </c>
      <c r="AE190" s="70">
        <v>0</v>
      </c>
      <c r="AF190" s="70">
        <v>0</v>
      </c>
      <c r="AG190" s="70">
        <v>0</v>
      </c>
      <c r="AH190" s="70">
        <v>0</v>
      </c>
      <c r="AI190" s="70">
        <v>0</v>
      </c>
      <c r="AJ190" s="70">
        <v>0</v>
      </c>
      <c r="AK190" s="70">
        <v>0</v>
      </c>
      <c r="AL190" s="70">
        <v>0</v>
      </c>
      <c r="AM190" s="70">
        <v>0</v>
      </c>
      <c r="AN190" s="34">
        <v>0</v>
      </c>
      <c r="AO190" s="835" t="str">
        <f t="shared" si="65"/>
        <v>Si</v>
      </c>
      <c r="AP190" s="34">
        <f t="shared" si="46"/>
        <v>0</v>
      </c>
    </row>
    <row r="191" spans="2:42" ht="28.8" x14ac:dyDescent="0.3">
      <c r="B191" s="29" t="s">
        <v>814</v>
      </c>
      <c r="C191" s="19" t="s">
        <v>815</v>
      </c>
      <c r="D191" s="55">
        <f>+D192</f>
        <v>46023</v>
      </c>
      <c r="E191" s="55">
        <f>+E194</f>
        <v>46736</v>
      </c>
      <c r="F191" s="39">
        <f t="shared" si="55"/>
        <v>713</v>
      </c>
      <c r="G191" s="39" t="str">
        <f>+G192</f>
        <v>INICIO</v>
      </c>
      <c r="H191" s="39" t="str">
        <f>+H194</f>
        <v>FIN</v>
      </c>
      <c r="I191" s="64">
        <v>16375000</v>
      </c>
      <c r="J191" s="32">
        <f t="shared" si="56"/>
        <v>250000</v>
      </c>
      <c r="K191" s="564">
        <f t="shared" ref="K191:P191" si="66">+SUM(K192:K194)</f>
        <v>0</v>
      </c>
      <c r="L191" s="64">
        <f t="shared" si="66"/>
        <v>0</v>
      </c>
      <c r="M191" s="64">
        <f t="shared" si="66"/>
        <v>0</v>
      </c>
      <c r="N191" s="64">
        <f t="shared" si="66"/>
        <v>0</v>
      </c>
      <c r="O191" s="64">
        <f t="shared" si="66"/>
        <v>0</v>
      </c>
      <c r="P191" s="32">
        <f t="shared" si="66"/>
        <v>0</v>
      </c>
      <c r="Q191" s="83">
        <v>0</v>
      </c>
      <c r="R191" s="64">
        <v>0</v>
      </c>
      <c r="S191" s="64">
        <v>0</v>
      </c>
      <c r="T191" s="64">
        <v>0</v>
      </c>
      <c r="U191" s="64">
        <v>0</v>
      </c>
      <c r="V191" s="64">
        <v>0</v>
      </c>
      <c r="W191" s="64">
        <v>2083.3333333333348</v>
      </c>
      <c r="X191" s="64">
        <v>12083.333333333336</v>
      </c>
      <c r="Y191" s="64">
        <v>2083.3333333333348</v>
      </c>
      <c r="Z191" s="64">
        <v>2083.3333333333348</v>
      </c>
      <c r="AA191" s="64">
        <v>2083.3333333333348</v>
      </c>
      <c r="AB191" s="32">
        <v>22083.333333333336</v>
      </c>
      <c r="AC191" s="83">
        <v>15625</v>
      </c>
      <c r="AD191" s="64">
        <v>15625</v>
      </c>
      <c r="AE191" s="64">
        <v>15625</v>
      </c>
      <c r="AF191" s="64">
        <v>25625</v>
      </c>
      <c r="AG191" s="64">
        <v>15625</v>
      </c>
      <c r="AH191" s="64">
        <v>15625</v>
      </c>
      <c r="AI191" s="64">
        <v>25625</v>
      </c>
      <c r="AJ191" s="64">
        <v>15625</v>
      </c>
      <c r="AK191" s="64">
        <v>15625</v>
      </c>
      <c r="AL191" s="64">
        <v>15625</v>
      </c>
      <c r="AM191" s="64">
        <v>15625</v>
      </c>
      <c r="AN191" s="32">
        <v>15625</v>
      </c>
      <c r="AO191" s="832" t="str">
        <f t="shared" si="65"/>
        <v>Si</v>
      </c>
      <c r="AP191" s="32">
        <f t="shared" si="46"/>
        <v>250000</v>
      </c>
    </row>
    <row r="192" spans="2:42" ht="28.8" x14ac:dyDescent="0.3">
      <c r="B192" s="30" t="s">
        <v>816</v>
      </c>
      <c r="C192" s="2" t="s">
        <v>817</v>
      </c>
      <c r="D192" s="56">
        <v>46023</v>
      </c>
      <c r="E192" s="56">
        <v>46265</v>
      </c>
      <c r="F192" s="41">
        <f t="shared" si="55"/>
        <v>242</v>
      </c>
      <c r="G192" s="41" t="s">
        <v>490</v>
      </c>
      <c r="H192" s="41" t="s">
        <v>818</v>
      </c>
      <c r="I192" s="70">
        <v>0</v>
      </c>
      <c r="J192" s="34">
        <f t="shared" si="56"/>
        <v>0</v>
      </c>
      <c r="K192" s="625">
        <v>0</v>
      </c>
      <c r="L192" s="70">
        <v>0</v>
      </c>
      <c r="M192" s="70">
        <v>0</v>
      </c>
      <c r="N192" s="70">
        <v>0</v>
      </c>
      <c r="O192" s="70">
        <v>0</v>
      </c>
      <c r="P192" s="34">
        <v>0</v>
      </c>
      <c r="Q192" s="88">
        <v>0</v>
      </c>
      <c r="R192" s="70">
        <v>0</v>
      </c>
      <c r="S192" s="70">
        <v>0</v>
      </c>
      <c r="T192" s="70">
        <v>0</v>
      </c>
      <c r="U192" s="70">
        <v>0</v>
      </c>
      <c r="V192" s="70">
        <v>0</v>
      </c>
      <c r="W192" s="70">
        <v>0</v>
      </c>
      <c r="X192" s="70">
        <v>0</v>
      </c>
      <c r="Y192" s="70">
        <v>0</v>
      </c>
      <c r="Z192" s="70">
        <v>0</v>
      </c>
      <c r="AA192" s="70">
        <v>0</v>
      </c>
      <c r="AB192" s="34">
        <v>0</v>
      </c>
      <c r="AC192" s="88">
        <v>0</v>
      </c>
      <c r="AD192" s="70">
        <v>0</v>
      </c>
      <c r="AE192" s="70">
        <v>0</v>
      </c>
      <c r="AF192" s="70">
        <v>0</v>
      </c>
      <c r="AG192" s="70">
        <v>0</v>
      </c>
      <c r="AH192" s="70">
        <v>0</v>
      </c>
      <c r="AI192" s="70">
        <v>0</v>
      </c>
      <c r="AJ192" s="70">
        <v>0</v>
      </c>
      <c r="AK192" s="70">
        <v>0</v>
      </c>
      <c r="AL192" s="70">
        <v>0</v>
      </c>
      <c r="AM192" s="70">
        <v>0</v>
      </c>
      <c r="AN192" s="34">
        <v>0</v>
      </c>
      <c r="AO192" s="835" t="str">
        <f t="shared" si="65"/>
        <v>Si</v>
      </c>
      <c r="AP192" s="34">
        <f t="shared" si="46"/>
        <v>0</v>
      </c>
    </row>
    <row r="193" spans="2:42" ht="28.8" x14ac:dyDescent="0.3">
      <c r="B193" s="30" t="s">
        <v>819</v>
      </c>
      <c r="C193" s="2" t="s">
        <v>820</v>
      </c>
      <c r="D193" s="56">
        <v>46266</v>
      </c>
      <c r="E193" s="56">
        <v>46446</v>
      </c>
      <c r="F193" s="41">
        <f t="shared" si="55"/>
        <v>180</v>
      </c>
      <c r="G193" s="41" t="s">
        <v>821</v>
      </c>
      <c r="H193" s="41" t="s">
        <v>822</v>
      </c>
      <c r="I193" s="70">
        <v>0</v>
      </c>
      <c r="J193" s="34">
        <f t="shared" si="56"/>
        <v>0</v>
      </c>
      <c r="K193" s="625">
        <v>0</v>
      </c>
      <c r="L193" s="70">
        <v>0</v>
      </c>
      <c r="M193" s="70">
        <v>0</v>
      </c>
      <c r="N193" s="70">
        <v>0</v>
      </c>
      <c r="O193" s="70">
        <v>0</v>
      </c>
      <c r="P193" s="34">
        <v>0</v>
      </c>
      <c r="Q193" s="88">
        <v>0</v>
      </c>
      <c r="R193" s="70">
        <v>0</v>
      </c>
      <c r="S193" s="70">
        <v>0</v>
      </c>
      <c r="T193" s="70">
        <v>0</v>
      </c>
      <c r="U193" s="70">
        <v>0</v>
      </c>
      <c r="V193" s="70">
        <v>0</v>
      </c>
      <c r="W193" s="70">
        <v>0</v>
      </c>
      <c r="X193" s="70">
        <v>0</v>
      </c>
      <c r="Y193" s="70">
        <v>0</v>
      </c>
      <c r="Z193" s="70">
        <v>0</v>
      </c>
      <c r="AA193" s="70">
        <v>0</v>
      </c>
      <c r="AB193" s="34">
        <v>0</v>
      </c>
      <c r="AC193" s="88">
        <v>0</v>
      </c>
      <c r="AD193" s="70">
        <v>0</v>
      </c>
      <c r="AE193" s="70">
        <v>0</v>
      </c>
      <c r="AF193" s="70">
        <v>0</v>
      </c>
      <c r="AG193" s="70">
        <v>0</v>
      </c>
      <c r="AH193" s="70">
        <v>0</v>
      </c>
      <c r="AI193" s="70">
        <v>0</v>
      </c>
      <c r="AJ193" s="70">
        <v>0</v>
      </c>
      <c r="AK193" s="70">
        <v>0</v>
      </c>
      <c r="AL193" s="70">
        <v>0</v>
      </c>
      <c r="AM193" s="70">
        <v>0</v>
      </c>
      <c r="AN193" s="34">
        <v>0</v>
      </c>
      <c r="AO193" s="835" t="str">
        <f t="shared" si="65"/>
        <v>Si</v>
      </c>
      <c r="AP193" s="34">
        <f t="shared" si="46"/>
        <v>0</v>
      </c>
    </row>
    <row r="194" spans="2:42" ht="46.2" customHeight="1" x14ac:dyDescent="0.3">
      <c r="B194" s="562" t="s">
        <v>823</v>
      </c>
      <c r="C194" s="357" t="s">
        <v>824</v>
      </c>
      <c r="D194" s="445">
        <v>46447</v>
      </c>
      <c r="E194" s="445">
        <v>46736</v>
      </c>
      <c r="F194" s="563">
        <f t="shared" si="55"/>
        <v>289</v>
      </c>
      <c r="G194" s="563" t="s">
        <v>818</v>
      </c>
      <c r="H194" s="563" t="s">
        <v>491</v>
      </c>
      <c r="I194" s="521">
        <v>0</v>
      </c>
      <c r="J194" s="542">
        <f t="shared" si="56"/>
        <v>0</v>
      </c>
      <c r="K194" s="628">
        <v>0</v>
      </c>
      <c r="L194" s="521">
        <v>0</v>
      </c>
      <c r="M194" s="521">
        <v>0</v>
      </c>
      <c r="N194" s="521">
        <v>0</v>
      </c>
      <c r="O194" s="521">
        <v>0</v>
      </c>
      <c r="P194" s="542">
        <v>0</v>
      </c>
      <c r="Q194" s="520">
        <v>0</v>
      </c>
      <c r="R194" s="521">
        <v>0</v>
      </c>
      <c r="S194" s="521">
        <v>0</v>
      </c>
      <c r="T194" s="521">
        <v>0</v>
      </c>
      <c r="U194" s="521">
        <v>0</v>
      </c>
      <c r="V194" s="521">
        <v>0</v>
      </c>
      <c r="W194" s="521">
        <v>0</v>
      </c>
      <c r="X194" s="521">
        <v>0</v>
      </c>
      <c r="Y194" s="521">
        <v>0</v>
      </c>
      <c r="Z194" s="521">
        <v>0</v>
      </c>
      <c r="AA194" s="521">
        <v>0</v>
      </c>
      <c r="AB194" s="542">
        <v>0</v>
      </c>
      <c r="AC194" s="520">
        <v>0</v>
      </c>
      <c r="AD194" s="521">
        <v>0</v>
      </c>
      <c r="AE194" s="521">
        <v>0</v>
      </c>
      <c r="AF194" s="521">
        <v>0</v>
      </c>
      <c r="AG194" s="521">
        <v>0</v>
      </c>
      <c r="AH194" s="521">
        <v>0</v>
      </c>
      <c r="AI194" s="521">
        <v>0</v>
      </c>
      <c r="AJ194" s="521">
        <v>0</v>
      </c>
      <c r="AK194" s="521">
        <v>0</v>
      </c>
      <c r="AL194" s="521">
        <v>0</v>
      </c>
      <c r="AM194" s="521">
        <v>0</v>
      </c>
      <c r="AN194" s="542">
        <v>0</v>
      </c>
      <c r="AO194" s="840" t="str">
        <f t="shared" si="65"/>
        <v>Si</v>
      </c>
      <c r="AP194" s="542">
        <f t="shared" si="46"/>
        <v>0</v>
      </c>
    </row>
    <row r="195" spans="2:42" ht="46.2" customHeight="1" thickBot="1" x14ac:dyDescent="0.35">
      <c r="B195" s="557" t="s">
        <v>814</v>
      </c>
      <c r="C195" s="430" t="s">
        <v>825</v>
      </c>
      <c r="D195" s="431">
        <v>46023</v>
      </c>
      <c r="E195" s="431">
        <v>46736</v>
      </c>
      <c r="F195" s="558">
        <f t="shared" ref="F195" si="67">ABS(+_xlfn.DAYS(D195,E195))</f>
        <v>713</v>
      </c>
      <c r="G195" s="558" t="s">
        <v>490</v>
      </c>
      <c r="H195" s="558" t="s">
        <v>491</v>
      </c>
      <c r="I195" s="559">
        <v>131000000</v>
      </c>
      <c r="J195" s="561">
        <f t="shared" ref="J195" si="68">+I195/$J$13</f>
        <v>2000000</v>
      </c>
      <c r="K195" s="629">
        <v>0</v>
      </c>
      <c r="L195" s="559">
        <f t="shared" ref="L195:P195" si="69">+SUM(L196:L198)</f>
        <v>0</v>
      </c>
      <c r="M195" s="559">
        <f t="shared" si="69"/>
        <v>0</v>
      </c>
      <c r="N195" s="559">
        <v>0</v>
      </c>
      <c r="O195" s="559">
        <f t="shared" si="69"/>
        <v>0</v>
      </c>
      <c r="P195" s="561">
        <f t="shared" si="69"/>
        <v>0</v>
      </c>
      <c r="Q195" s="560">
        <v>0</v>
      </c>
      <c r="R195" s="559">
        <v>0</v>
      </c>
      <c r="S195" s="559">
        <v>0</v>
      </c>
      <c r="T195" s="559">
        <v>7142.8571428571431</v>
      </c>
      <c r="U195" s="559">
        <v>7142.8571428571431</v>
      </c>
      <c r="V195" s="559">
        <v>7142.8571428571431</v>
      </c>
      <c r="W195" s="559">
        <v>55476.190476190473</v>
      </c>
      <c r="X195" s="559">
        <v>155476.19047619047</v>
      </c>
      <c r="Y195" s="559">
        <v>50476.190476190473</v>
      </c>
      <c r="Z195" s="559">
        <v>15476.190476190477</v>
      </c>
      <c r="AA195" s="559">
        <v>8333.3333333333339</v>
      </c>
      <c r="AB195" s="561">
        <v>28333.333333333336</v>
      </c>
      <c r="AC195" s="560">
        <v>483750</v>
      </c>
      <c r="AD195" s="559">
        <v>50416.666666666672</v>
      </c>
      <c r="AE195" s="559">
        <v>150416.66666666669</v>
      </c>
      <c r="AF195" s="559">
        <v>435416.66666666669</v>
      </c>
      <c r="AG195" s="559">
        <v>171666.66666666669</v>
      </c>
      <c r="AH195" s="559">
        <v>6666.666666666667</v>
      </c>
      <c r="AI195" s="559">
        <v>321666.66666666669</v>
      </c>
      <c r="AJ195" s="559">
        <v>0</v>
      </c>
      <c r="AK195" s="559">
        <v>45000</v>
      </c>
      <c r="AL195" s="559">
        <v>0</v>
      </c>
      <c r="AM195" s="559">
        <v>0</v>
      </c>
      <c r="AN195" s="561">
        <v>0</v>
      </c>
      <c r="AO195" s="841" t="str">
        <f t="shared" si="65"/>
        <v>Si</v>
      </c>
      <c r="AP195" s="561">
        <f t="shared" si="46"/>
        <v>2000000.0000000002</v>
      </c>
    </row>
    <row r="196" spans="2:42" x14ac:dyDescent="0.3">
      <c r="K196" s="1098">
        <f>SUM(K15:M15)</f>
        <v>0</v>
      </c>
      <c r="L196" s="1099"/>
      <c r="M196" s="1099"/>
      <c r="N196" s="1099">
        <f>+SUM(N15:P15)</f>
        <v>0</v>
      </c>
      <c r="O196" s="1099"/>
      <c r="P196" s="1100"/>
      <c r="Q196" s="1084">
        <f>SUM(Q15:S15)</f>
        <v>1289321.3443985917</v>
      </c>
      <c r="R196" s="1085"/>
      <c r="S196" s="1085"/>
      <c r="T196" s="1085">
        <f>+SUM(T15:V15)</f>
        <v>1273334.28865256</v>
      </c>
      <c r="U196" s="1085"/>
      <c r="V196" s="1085"/>
      <c r="W196" s="1085">
        <f>SUM(W15:Y15)</f>
        <v>1313587.4652557345</v>
      </c>
      <c r="X196" s="1085"/>
      <c r="Y196" s="1085"/>
      <c r="Z196" s="1085">
        <f>+SUM(Z15:AB15)</f>
        <v>600017.39482716308</v>
      </c>
      <c r="AA196" s="1085"/>
      <c r="AB196" s="1086"/>
      <c r="AC196" s="1084">
        <f>SUM(AC15:AE15)</f>
        <v>2340018.6144462107</v>
      </c>
      <c r="AD196" s="1085"/>
      <c r="AE196" s="1085"/>
      <c r="AF196" s="1085">
        <f>+SUM(AF15:AH15)</f>
        <v>1530986.719126883</v>
      </c>
      <c r="AG196" s="1085"/>
      <c r="AH196" s="1085"/>
      <c r="AI196" s="1085">
        <f>SUM(AI15:AK15)</f>
        <v>1085651.1398215608</v>
      </c>
      <c r="AJ196" s="1085"/>
      <c r="AK196" s="1085"/>
      <c r="AL196" s="1085">
        <f>+SUM(AL15:AN15)</f>
        <v>269144.82571325084</v>
      </c>
      <c r="AM196" s="1085"/>
      <c r="AN196" s="1086"/>
      <c r="AO196" s="842"/>
    </row>
    <row r="197" spans="2:42" ht="15" thickBot="1" x14ac:dyDescent="0.35">
      <c r="K197" s="1090">
        <f>+SUM(K196:P196)</f>
        <v>0</v>
      </c>
      <c r="L197" s="1091"/>
      <c r="M197" s="1091"/>
      <c r="N197" s="1091"/>
      <c r="O197" s="1091"/>
      <c r="P197" s="1092"/>
      <c r="Q197" s="1087">
        <f>+SUM(Q196:V196)</f>
        <v>2562655.6330511514</v>
      </c>
      <c r="R197" s="1088"/>
      <c r="S197" s="1088"/>
      <c r="T197" s="1088"/>
      <c r="U197" s="1088"/>
      <c r="V197" s="1088"/>
      <c r="W197" s="1088">
        <f>+SUM(W196:AB196)</f>
        <v>1913604.8600828976</v>
      </c>
      <c r="X197" s="1088"/>
      <c r="Y197" s="1088"/>
      <c r="Z197" s="1088"/>
      <c r="AA197" s="1088"/>
      <c r="AB197" s="1089"/>
      <c r="AC197" s="1087">
        <f>+SUM(AC196:AH196)</f>
        <v>3871005.3335730936</v>
      </c>
      <c r="AD197" s="1088"/>
      <c r="AE197" s="1088"/>
      <c r="AF197" s="1088"/>
      <c r="AG197" s="1088"/>
      <c r="AH197" s="1088"/>
      <c r="AI197" s="1088">
        <f>+SUM(AI196:AN196)</f>
        <v>1354795.9655348116</v>
      </c>
      <c r="AJ197" s="1088"/>
      <c r="AK197" s="1088"/>
      <c r="AL197" s="1088"/>
      <c r="AM197" s="1088"/>
      <c r="AN197" s="1089"/>
      <c r="AO197" s="842"/>
    </row>
    <row r="198" spans="2:42" ht="15" thickBot="1" x14ac:dyDescent="0.35">
      <c r="Q198" s="1081">
        <f>+SUM(Q197:AB197)</f>
        <v>4476260.4931340488</v>
      </c>
      <c r="R198" s="1082"/>
      <c r="S198" s="1082"/>
      <c r="T198" s="1082"/>
      <c r="U198" s="1082"/>
      <c r="V198" s="1082"/>
      <c r="W198" s="1082"/>
      <c r="X198" s="1082"/>
      <c r="Y198" s="1082"/>
      <c r="Z198" s="1082"/>
      <c r="AA198" s="1082"/>
      <c r="AB198" s="1083"/>
      <c r="AC198" s="1081">
        <f>+SUM(AC197:AN197)</f>
        <v>5225801.2991079055</v>
      </c>
      <c r="AD198" s="1082"/>
      <c r="AE198" s="1082"/>
      <c r="AF198" s="1082"/>
      <c r="AG198" s="1082"/>
      <c r="AH198" s="1082"/>
      <c r="AI198" s="1082"/>
      <c r="AJ198" s="1082"/>
      <c r="AK198" s="1082"/>
      <c r="AL198" s="1082"/>
      <c r="AM198" s="1082"/>
      <c r="AN198" s="1083"/>
      <c r="AO198" s="842"/>
    </row>
    <row r="199" spans="2:42" ht="15" thickBot="1" x14ac:dyDescent="0.35">
      <c r="Q199" s="1078">
        <f>+SUM(Q198:AN198)</f>
        <v>9702061.7922419533</v>
      </c>
      <c r="R199" s="1079"/>
      <c r="S199" s="1079"/>
      <c r="T199" s="1079"/>
      <c r="U199" s="1079"/>
      <c r="V199" s="1079"/>
      <c r="W199" s="1079"/>
      <c r="X199" s="1079"/>
      <c r="Y199" s="1079"/>
      <c r="Z199" s="1079"/>
      <c r="AA199" s="1079"/>
      <c r="AB199" s="1079"/>
      <c r="AC199" s="1079"/>
      <c r="AD199" s="1079"/>
      <c r="AE199" s="1079"/>
      <c r="AF199" s="1079"/>
      <c r="AG199" s="1079"/>
      <c r="AH199" s="1079"/>
      <c r="AI199" s="1079"/>
      <c r="AJ199" s="1079"/>
      <c r="AK199" s="1079"/>
      <c r="AL199" s="1079"/>
      <c r="AM199" s="1079"/>
      <c r="AN199" s="1080"/>
    </row>
    <row r="200" spans="2:42" x14ac:dyDescent="0.3">
      <c r="AB200" s="584"/>
    </row>
  </sheetData>
  <mergeCells count="28">
    <mergeCell ref="D2:G11"/>
    <mergeCell ref="AD2:AH11"/>
    <mergeCell ref="AO14:AP14"/>
    <mergeCell ref="H2:AC5"/>
    <mergeCell ref="H6:AC8"/>
    <mergeCell ref="H9:AC11"/>
    <mergeCell ref="AC13:AN13"/>
    <mergeCell ref="B14:C14"/>
    <mergeCell ref="K13:P13"/>
    <mergeCell ref="Q13:AB13"/>
    <mergeCell ref="K196:M196"/>
    <mergeCell ref="N196:P196"/>
    <mergeCell ref="Z196:AB196"/>
    <mergeCell ref="K197:P197"/>
    <mergeCell ref="Q196:S196"/>
    <mergeCell ref="T196:V196"/>
    <mergeCell ref="Q197:V197"/>
    <mergeCell ref="W196:Y196"/>
    <mergeCell ref="W197:AB197"/>
    <mergeCell ref="Q199:AN199"/>
    <mergeCell ref="Q198:AB198"/>
    <mergeCell ref="AC196:AE196"/>
    <mergeCell ref="AF196:AH196"/>
    <mergeCell ref="AI196:AK196"/>
    <mergeCell ref="AL196:AN196"/>
    <mergeCell ref="AC197:AH197"/>
    <mergeCell ref="AI197:AN197"/>
    <mergeCell ref="AC198:AN198"/>
  </mergeCells>
  <phoneticPr fontId="8" type="noConversion"/>
  <conditionalFormatting sqref="AO15:AO195">
    <cfRule type="cellIs" dxfId="78" priority="1" operator="equal">
      <formula>"No"</formula>
    </cfRule>
    <cfRule type="cellIs" dxfId="77" priority="2" operator="equal">
      <formula>"Si"</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19CE-A74F-4F4E-B26F-7CC90D943A43}">
  <dimension ref="B1:AP198"/>
  <sheetViews>
    <sheetView showGridLines="0" zoomScale="55" zoomScaleNormal="55" workbookViewId="0">
      <selection activeCell="D211" sqref="D211"/>
    </sheetView>
    <sheetView topLeftCell="A6" zoomScale="70" workbookViewId="1">
      <selection activeCell="D20" sqref="D20"/>
    </sheetView>
  </sheetViews>
  <sheetFormatPr baseColWidth="10" defaultColWidth="11.5546875" defaultRowHeight="14.4" x14ac:dyDescent="0.3"/>
  <cols>
    <col min="1" max="1" width="11.5546875" style="5"/>
    <col min="2" max="2" width="24.5546875" style="5" customWidth="1"/>
    <col min="3" max="3" width="11.5546875" style="5"/>
    <col min="4" max="4" width="47.88671875" style="5" customWidth="1"/>
    <col min="5" max="6" width="16.109375" style="21" customWidth="1"/>
    <col min="7" max="7" width="16.109375" style="5" hidden="1" customWidth="1"/>
    <col min="8" max="8" width="16.109375" style="21" hidden="1" customWidth="1"/>
    <col min="9" max="9" width="14.6640625" style="21" hidden="1" customWidth="1"/>
    <col min="10" max="10" width="22.44140625" style="5" customWidth="1"/>
    <col min="11" max="11" width="18" style="5" customWidth="1"/>
    <col min="12" max="17" width="16.109375" style="5" hidden="1" customWidth="1"/>
    <col min="18" max="41" width="4.88671875" style="5" customWidth="1"/>
    <col min="42" max="16384" width="11.5546875" style="5"/>
  </cols>
  <sheetData>
    <row r="1" spans="2:42" ht="15" thickBot="1" x14ac:dyDescent="0.35"/>
    <row r="2" spans="2:42" ht="14.4" customHeight="1" x14ac:dyDescent="0.3">
      <c r="B2" s="1106" t="e" vm="5">
        <v>#VALUE!</v>
      </c>
      <c r="C2" s="1107"/>
      <c r="D2" s="1108"/>
      <c r="E2" s="994" t="s">
        <v>1501</v>
      </c>
      <c r="F2" s="995"/>
      <c r="G2" s="995"/>
      <c r="H2" s="995"/>
      <c r="I2" s="995"/>
      <c r="J2" s="995"/>
      <c r="K2" s="995"/>
      <c r="L2" s="995"/>
      <c r="M2" s="995"/>
      <c r="N2" s="995"/>
      <c r="O2" s="995"/>
      <c r="P2" s="995"/>
      <c r="Q2" s="995"/>
      <c r="R2" s="995"/>
      <c r="S2" s="995"/>
      <c r="T2" s="995"/>
      <c r="U2" s="995"/>
      <c r="V2" s="995"/>
      <c r="W2" s="995"/>
      <c r="X2" s="995"/>
      <c r="Y2" s="995"/>
      <c r="Z2" s="996"/>
      <c r="AA2" s="1000" t="e" vm="6">
        <v>#VALUE!</v>
      </c>
      <c r="AB2" s="1001"/>
      <c r="AC2" s="1001"/>
      <c r="AD2" s="1001"/>
      <c r="AE2" s="1001"/>
      <c r="AF2" s="1001"/>
      <c r="AG2" s="1001"/>
      <c r="AH2" s="1001"/>
      <c r="AI2" s="1001"/>
      <c r="AJ2" s="1001"/>
      <c r="AK2" s="1001"/>
      <c r="AL2" s="1001"/>
      <c r="AM2" s="1001"/>
      <c r="AN2" s="1001"/>
      <c r="AO2" s="1002"/>
    </row>
    <row r="3" spans="2:42" ht="14.4" customHeight="1" x14ac:dyDescent="0.3">
      <c r="B3" s="1109"/>
      <c r="C3" s="1110"/>
      <c r="D3" s="1111"/>
      <c r="E3" s="997"/>
      <c r="F3" s="998"/>
      <c r="G3" s="998"/>
      <c r="H3" s="998"/>
      <c r="I3" s="998"/>
      <c r="J3" s="998"/>
      <c r="K3" s="998"/>
      <c r="L3" s="998"/>
      <c r="M3" s="998"/>
      <c r="N3" s="998"/>
      <c r="O3" s="998"/>
      <c r="P3" s="998"/>
      <c r="Q3" s="998"/>
      <c r="R3" s="998"/>
      <c r="S3" s="998"/>
      <c r="T3" s="998"/>
      <c r="U3" s="998"/>
      <c r="V3" s="998"/>
      <c r="W3" s="998"/>
      <c r="X3" s="998"/>
      <c r="Y3" s="998"/>
      <c r="Z3" s="999"/>
      <c r="AA3" s="1003"/>
      <c r="AB3" s="1004"/>
      <c r="AC3" s="1004"/>
      <c r="AD3" s="1004"/>
      <c r="AE3" s="1004"/>
      <c r="AF3" s="1004"/>
      <c r="AG3" s="1004"/>
      <c r="AH3" s="1004"/>
      <c r="AI3" s="1004"/>
      <c r="AJ3" s="1004"/>
      <c r="AK3" s="1004"/>
      <c r="AL3" s="1004"/>
      <c r="AM3" s="1004"/>
      <c r="AN3" s="1004"/>
      <c r="AO3" s="1005"/>
    </row>
    <row r="4" spans="2:42" ht="14.4" customHeight="1" x14ac:dyDescent="0.3">
      <c r="B4" s="1109"/>
      <c r="C4" s="1110"/>
      <c r="D4" s="1111"/>
      <c r="E4" s="997"/>
      <c r="F4" s="998"/>
      <c r="G4" s="998"/>
      <c r="H4" s="998"/>
      <c r="I4" s="998"/>
      <c r="J4" s="998"/>
      <c r="K4" s="998"/>
      <c r="L4" s="998"/>
      <c r="M4" s="998"/>
      <c r="N4" s="998"/>
      <c r="O4" s="998"/>
      <c r="P4" s="998"/>
      <c r="Q4" s="998"/>
      <c r="R4" s="998"/>
      <c r="S4" s="998"/>
      <c r="T4" s="998"/>
      <c r="U4" s="998"/>
      <c r="V4" s="998"/>
      <c r="W4" s="998"/>
      <c r="X4" s="998"/>
      <c r="Y4" s="998"/>
      <c r="Z4" s="999"/>
      <c r="AA4" s="1003"/>
      <c r="AB4" s="1004"/>
      <c r="AC4" s="1004"/>
      <c r="AD4" s="1004"/>
      <c r="AE4" s="1004"/>
      <c r="AF4" s="1004"/>
      <c r="AG4" s="1004"/>
      <c r="AH4" s="1004"/>
      <c r="AI4" s="1004"/>
      <c r="AJ4" s="1004"/>
      <c r="AK4" s="1004"/>
      <c r="AL4" s="1004"/>
      <c r="AM4" s="1004"/>
      <c r="AN4" s="1004"/>
      <c r="AO4" s="1005"/>
    </row>
    <row r="5" spans="2:42" ht="14.4" customHeight="1" x14ac:dyDescent="0.3">
      <c r="B5" s="1109"/>
      <c r="C5" s="1110"/>
      <c r="D5" s="1111"/>
      <c r="E5" s="997"/>
      <c r="F5" s="998"/>
      <c r="G5" s="998"/>
      <c r="H5" s="998"/>
      <c r="I5" s="998"/>
      <c r="J5" s="998"/>
      <c r="K5" s="998"/>
      <c r="L5" s="998"/>
      <c r="M5" s="998"/>
      <c r="N5" s="998"/>
      <c r="O5" s="998"/>
      <c r="P5" s="998"/>
      <c r="Q5" s="998"/>
      <c r="R5" s="998"/>
      <c r="S5" s="998"/>
      <c r="T5" s="998"/>
      <c r="U5" s="998"/>
      <c r="V5" s="998"/>
      <c r="W5" s="998"/>
      <c r="X5" s="998"/>
      <c r="Y5" s="998"/>
      <c r="Z5" s="999"/>
      <c r="AA5" s="1003"/>
      <c r="AB5" s="1004"/>
      <c r="AC5" s="1004"/>
      <c r="AD5" s="1004"/>
      <c r="AE5" s="1004"/>
      <c r="AF5" s="1004"/>
      <c r="AG5" s="1004"/>
      <c r="AH5" s="1004"/>
      <c r="AI5" s="1004"/>
      <c r="AJ5" s="1004"/>
      <c r="AK5" s="1004"/>
      <c r="AL5" s="1004"/>
      <c r="AM5" s="1004"/>
      <c r="AN5" s="1004"/>
      <c r="AO5" s="1005"/>
    </row>
    <row r="6" spans="2:42" ht="14.4" customHeight="1" x14ac:dyDescent="0.3">
      <c r="B6" s="1109"/>
      <c r="C6" s="1110"/>
      <c r="D6" s="1111"/>
      <c r="E6" s="1018" t="s">
        <v>1502</v>
      </c>
      <c r="F6" s="1019"/>
      <c r="G6" s="1019"/>
      <c r="H6" s="1019"/>
      <c r="I6" s="1019"/>
      <c r="J6" s="1019"/>
      <c r="K6" s="1019"/>
      <c r="L6" s="1019"/>
      <c r="M6" s="1019"/>
      <c r="N6" s="1019"/>
      <c r="O6" s="1019"/>
      <c r="P6" s="1019"/>
      <c r="Q6" s="1019"/>
      <c r="R6" s="1019"/>
      <c r="S6" s="1019"/>
      <c r="T6" s="1019"/>
      <c r="U6" s="1019"/>
      <c r="V6" s="1019"/>
      <c r="W6" s="1019"/>
      <c r="X6" s="1019"/>
      <c r="Y6" s="1019"/>
      <c r="Z6" s="1020"/>
      <c r="AA6" s="1003"/>
      <c r="AB6" s="1004"/>
      <c r="AC6" s="1004"/>
      <c r="AD6" s="1004"/>
      <c r="AE6" s="1004"/>
      <c r="AF6" s="1004"/>
      <c r="AG6" s="1004"/>
      <c r="AH6" s="1004"/>
      <c r="AI6" s="1004"/>
      <c r="AJ6" s="1004"/>
      <c r="AK6" s="1004"/>
      <c r="AL6" s="1004"/>
      <c r="AM6" s="1004"/>
      <c r="AN6" s="1004"/>
      <c r="AO6" s="1005"/>
    </row>
    <row r="7" spans="2:42" ht="14.4" customHeight="1" x14ac:dyDescent="0.3">
      <c r="B7" s="1109"/>
      <c r="C7" s="1110"/>
      <c r="D7" s="1111"/>
      <c r="E7" s="1018"/>
      <c r="F7" s="1019"/>
      <c r="G7" s="1019"/>
      <c r="H7" s="1019"/>
      <c r="I7" s="1019"/>
      <c r="J7" s="1019"/>
      <c r="K7" s="1019"/>
      <c r="L7" s="1019"/>
      <c r="M7" s="1019"/>
      <c r="N7" s="1019"/>
      <c r="O7" s="1019"/>
      <c r="P7" s="1019"/>
      <c r="Q7" s="1019"/>
      <c r="R7" s="1019"/>
      <c r="S7" s="1019"/>
      <c r="T7" s="1019"/>
      <c r="U7" s="1019"/>
      <c r="V7" s="1019"/>
      <c r="W7" s="1019"/>
      <c r="X7" s="1019"/>
      <c r="Y7" s="1019"/>
      <c r="Z7" s="1020"/>
      <c r="AA7" s="1003"/>
      <c r="AB7" s="1004"/>
      <c r="AC7" s="1004"/>
      <c r="AD7" s="1004"/>
      <c r="AE7" s="1004"/>
      <c r="AF7" s="1004"/>
      <c r="AG7" s="1004"/>
      <c r="AH7" s="1004"/>
      <c r="AI7" s="1004"/>
      <c r="AJ7" s="1004"/>
      <c r="AK7" s="1004"/>
      <c r="AL7" s="1004"/>
      <c r="AM7" s="1004"/>
      <c r="AN7" s="1004"/>
      <c r="AO7" s="1005"/>
    </row>
    <row r="8" spans="2:42" ht="14.4" customHeight="1" x14ac:dyDescent="0.3">
      <c r="B8" s="1109"/>
      <c r="C8" s="1110"/>
      <c r="D8" s="1111"/>
      <c r="E8" s="1018"/>
      <c r="F8" s="1019"/>
      <c r="G8" s="1019"/>
      <c r="H8" s="1019"/>
      <c r="I8" s="1019"/>
      <c r="J8" s="1019"/>
      <c r="K8" s="1019"/>
      <c r="L8" s="1019"/>
      <c r="M8" s="1019"/>
      <c r="N8" s="1019"/>
      <c r="O8" s="1019"/>
      <c r="P8" s="1019"/>
      <c r="Q8" s="1019"/>
      <c r="R8" s="1019"/>
      <c r="S8" s="1019"/>
      <c r="T8" s="1019"/>
      <c r="U8" s="1019"/>
      <c r="V8" s="1019"/>
      <c r="W8" s="1019"/>
      <c r="X8" s="1019"/>
      <c r="Y8" s="1019"/>
      <c r="Z8" s="1020"/>
      <c r="AA8" s="1003"/>
      <c r="AB8" s="1004"/>
      <c r="AC8" s="1004"/>
      <c r="AD8" s="1004"/>
      <c r="AE8" s="1004"/>
      <c r="AF8" s="1004"/>
      <c r="AG8" s="1004"/>
      <c r="AH8" s="1004"/>
      <c r="AI8" s="1004"/>
      <c r="AJ8" s="1004"/>
      <c r="AK8" s="1004"/>
      <c r="AL8" s="1004"/>
      <c r="AM8" s="1004"/>
      <c r="AN8" s="1004"/>
      <c r="AO8" s="1005"/>
    </row>
    <row r="9" spans="2:42" ht="14.4" customHeight="1" x14ac:dyDescent="0.3">
      <c r="B9" s="1109"/>
      <c r="C9" s="1110"/>
      <c r="D9" s="1111"/>
      <c r="E9" s="1012" t="s">
        <v>1504</v>
      </c>
      <c r="F9" s="1013"/>
      <c r="G9" s="1013"/>
      <c r="H9" s="1013"/>
      <c r="I9" s="1013"/>
      <c r="J9" s="1013"/>
      <c r="K9" s="1013"/>
      <c r="L9" s="1013"/>
      <c r="M9" s="1013"/>
      <c r="N9" s="1013"/>
      <c r="O9" s="1013"/>
      <c r="P9" s="1013"/>
      <c r="Q9" s="1013"/>
      <c r="R9" s="1013"/>
      <c r="S9" s="1013"/>
      <c r="T9" s="1013"/>
      <c r="U9" s="1013"/>
      <c r="V9" s="1013"/>
      <c r="W9" s="1013"/>
      <c r="X9" s="1013"/>
      <c r="Y9" s="1013"/>
      <c r="Z9" s="1014"/>
      <c r="AA9" s="1003"/>
      <c r="AB9" s="1004"/>
      <c r="AC9" s="1004"/>
      <c r="AD9" s="1004"/>
      <c r="AE9" s="1004"/>
      <c r="AF9" s="1004"/>
      <c r="AG9" s="1004"/>
      <c r="AH9" s="1004"/>
      <c r="AI9" s="1004"/>
      <c r="AJ9" s="1004"/>
      <c r="AK9" s="1004"/>
      <c r="AL9" s="1004"/>
      <c r="AM9" s="1004"/>
      <c r="AN9" s="1004"/>
      <c r="AO9" s="1005"/>
    </row>
    <row r="10" spans="2:42" ht="14.4" customHeight="1" x14ac:dyDescent="0.3">
      <c r="B10" s="1109"/>
      <c r="C10" s="1110"/>
      <c r="D10" s="1111"/>
      <c r="E10" s="1012"/>
      <c r="F10" s="1013"/>
      <c r="G10" s="1013"/>
      <c r="H10" s="1013"/>
      <c r="I10" s="1013"/>
      <c r="J10" s="1013"/>
      <c r="K10" s="1013"/>
      <c r="L10" s="1013"/>
      <c r="M10" s="1013"/>
      <c r="N10" s="1013"/>
      <c r="O10" s="1013"/>
      <c r="P10" s="1013"/>
      <c r="Q10" s="1013"/>
      <c r="R10" s="1013"/>
      <c r="S10" s="1013"/>
      <c r="T10" s="1013"/>
      <c r="U10" s="1013"/>
      <c r="V10" s="1013"/>
      <c r="W10" s="1013"/>
      <c r="X10" s="1013"/>
      <c r="Y10" s="1013"/>
      <c r="Z10" s="1014"/>
      <c r="AA10" s="1003"/>
      <c r="AB10" s="1004"/>
      <c r="AC10" s="1004"/>
      <c r="AD10" s="1004"/>
      <c r="AE10" s="1004"/>
      <c r="AF10" s="1004"/>
      <c r="AG10" s="1004"/>
      <c r="AH10" s="1004"/>
      <c r="AI10" s="1004"/>
      <c r="AJ10" s="1004"/>
      <c r="AK10" s="1004"/>
      <c r="AL10" s="1004"/>
      <c r="AM10" s="1004"/>
      <c r="AN10" s="1004"/>
      <c r="AO10" s="1005"/>
    </row>
    <row r="11" spans="2:42" ht="15" customHeight="1" thickBot="1" x14ac:dyDescent="0.35">
      <c r="B11" s="1112"/>
      <c r="C11" s="1113"/>
      <c r="D11" s="1114"/>
      <c r="E11" s="1015"/>
      <c r="F11" s="1016"/>
      <c r="G11" s="1016"/>
      <c r="H11" s="1016"/>
      <c r="I11" s="1016"/>
      <c r="J11" s="1016"/>
      <c r="K11" s="1016"/>
      <c r="L11" s="1016"/>
      <c r="M11" s="1016"/>
      <c r="N11" s="1016"/>
      <c r="O11" s="1016"/>
      <c r="P11" s="1016"/>
      <c r="Q11" s="1016"/>
      <c r="R11" s="1016"/>
      <c r="S11" s="1016"/>
      <c r="T11" s="1016"/>
      <c r="U11" s="1016"/>
      <c r="V11" s="1016"/>
      <c r="W11" s="1016"/>
      <c r="X11" s="1016"/>
      <c r="Y11" s="1016"/>
      <c r="Z11" s="1017"/>
      <c r="AA11" s="1006"/>
      <c r="AB11" s="1007"/>
      <c r="AC11" s="1007"/>
      <c r="AD11" s="1007"/>
      <c r="AE11" s="1007"/>
      <c r="AF11" s="1007"/>
      <c r="AG11" s="1007"/>
      <c r="AH11" s="1007"/>
      <c r="AI11" s="1007"/>
      <c r="AJ11" s="1007"/>
      <c r="AK11" s="1007"/>
      <c r="AL11" s="1007"/>
      <c r="AM11" s="1007"/>
      <c r="AN11" s="1007"/>
      <c r="AO11" s="1008"/>
    </row>
    <row r="12" spans="2:42" ht="15" thickBot="1" x14ac:dyDescent="0.35"/>
    <row r="13" spans="2:42" ht="15" thickBot="1" x14ac:dyDescent="0.35">
      <c r="J13" s="77" t="s">
        <v>468</v>
      </c>
      <c r="K13" s="78">
        <v>65.5</v>
      </c>
      <c r="L13" s="1095">
        <v>2025</v>
      </c>
      <c r="M13" s="1096"/>
      <c r="N13" s="1096"/>
      <c r="O13" s="1096"/>
      <c r="P13" s="1096"/>
      <c r="Q13" s="1097"/>
      <c r="R13" s="1095">
        <v>2026</v>
      </c>
      <c r="S13" s="1096"/>
      <c r="T13" s="1096"/>
      <c r="U13" s="1096"/>
      <c r="V13" s="1096"/>
      <c r="W13" s="1096"/>
      <c r="X13" s="1096"/>
      <c r="Y13" s="1096"/>
      <c r="Z13" s="1096"/>
      <c r="AA13" s="1096"/>
      <c r="AB13" s="1096"/>
      <c r="AC13" s="1097"/>
      <c r="AD13" s="1095">
        <v>2027</v>
      </c>
      <c r="AE13" s="1096"/>
      <c r="AF13" s="1096"/>
      <c r="AG13" s="1096"/>
      <c r="AH13" s="1096"/>
      <c r="AI13" s="1096"/>
      <c r="AJ13" s="1096"/>
      <c r="AK13" s="1096"/>
      <c r="AL13" s="1096"/>
      <c r="AM13" s="1096"/>
      <c r="AN13" s="1096"/>
      <c r="AO13" s="1097"/>
    </row>
    <row r="14" spans="2:42" ht="28.65" customHeight="1" thickBot="1" x14ac:dyDescent="0.35">
      <c r="C14" s="1115" t="s">
        <v>469</v>
      </c>
      <c r="D14" s="1116"/>
      <c r="E14" s="74" t="s">
        <v>2</v>
      </c>
      <c r="F14" s="74" t="s">
        <v>3</v>
      </c>
      <c r="G14" s="74" t="s">
        <v>470</v>
      </c>
      <c r="H14" s="74" t="s">
        <v>471</v>
      </c>
      <c r="I14" s="74" t="s">
        <v>472</v>
      </c>
      <c r="J14" s="74" t="s">
        <v>473</v>
      </c>
      <c r="K14" s="79" t="s">
        <v>474</v>
      </c>
      <c r="L14" s="35" t="s">
        <v>475</v>
      </c>
      <c r="M14" s="20" t="s">
        <v>476</v>
      </c>
      <c r="N14" s="20" t="s">
        <v>477</v>
      </c>
      <c r="O14" s="20" t="s">
        <v>478</v>
      </c>
      <c r="P14" s="20" t="s">
        <v>479</v>
      </c>
      <c r="Q14" s="566" t="s">
        <v>480</v>
      </c>
      <c r="R14" s="516">
        <v>1</v>
      </c>
      <c r="S14" s="517">
        <v>2</v>
      </c>
      <c r="T14" s="517">
        <v>3</v>
      </c>
      <c r="U14" s="517">
        <v>4</v>
      </c>
      <c r="V14" s="517">
        <v>5</v>
      </c>
      <c r="W14" s="517">
        <v>6</v>
      </c>
      <c r="X14" s="517">
        <v>7</v>
      </c>
      <c r="Y14" s="517">
        <v>8</v>
      </c>
      <c r="Z14" s="517">
        <v>9</v>
      </c>
      <c r="AA14" s="517">
        <v>10</v>
      </c>
      <c r="AB14" s="517">
        <v>11</v>
      </c>
      <c r="AC14" s="522">
        <v>12</v>
      </c>
      <c r="AD14" s="516">
        <v>1</v>
      </c>
      <c r="AE14" s="517">
        <v>2</v>
      </c>
      <c r="AF14" s="517">
        <v>3</v>
      </c>
      <c r="AG14" s="517">
        <v>4</v>
      </c>
      <c r="AH14" s="517">
        <v>5</v>
      </c>
      <c r="AI14" s="517">
        <v>6</v>
      </c>
      <c r="AJ14" s="517">
        <v>7</v>
      </c>
      <c r="AK14" s="517">
        <v>8</v>
      </c>
      <c r="AL14" s="517">
        <v>9</v>
      </c>
      <c r="AM14" s="517">
        <v>10</v>
      </c>
      <c r="AN14" s="517">
        <v>11</v>
      </c>
      <c r="AO14" s="522">
        <v>12</v>
      </c>
    </row>
    <row r="15" spans="2:42" ht="28.65" hidden="1" customHeight="1" x14ac:dyDescent="0.3">
      <c r="C15" s="75" t="s">
        <v>488</v>
      </c>
      <c r="D15" s="519" t="s">
        <v>489</v>
      </c>
      <c r="E15" s="570">
        <v>45658</v>
      </c>
      <c r="F15" s="570">
        <v>46752</v>
      </c>
      <c r="G15" s="571">
        <v>1094</v>
      </c>
      <c r="H15" s="571" t="s">
        <v>490</v>
      </c>
      <c r="I15" s="571" t="s">
        <v>491</v>
      </c>
      <c r="J15" s="58">
        <v>715692398</v>
      </c>
      <c r="K15" s="616">
        <v>10926601.496183205</v>
      </c>
      <c r="L15" s="90">
        <v>44608.375877226463</v>
      </c>
      <c r="M15" s="91">
        <v>44608.375877226463</v>
      </c>
      <c r="N15" s="91">
        <v>58348.835877226462</v>
      </c>
      <c r="O15" s="91">
        <v>44608.375877226463</v>
      </c>
      <c r="P15" s="91">
        <v>58348.835877226462</v>
      </c>
      <c r="Q15" s="567">
        <v>1261275.0425438932</v>
      </c>
      <c r="R15" s="539">
        <v>615917.72266773216</v>
      </c>
      <c r="S15" s="540">
        <v>552438.34964467678</v>
      </c>
      <c r="T15" s="540">
        <v>256771.68964467675</v>
      </c>
      <c r="U15" s="540">
        <v>477974.90726372442</v>
      </c>
      <c r="V15" s="540">
        <v>266515.73393039103</v>
      </c>
      <c r="W15" s="540">
        <v>1424849.0672637245</v>
      </c>
      <c r="X15" s="540">
        <v>521334.10999876709</v>
      </c>
      <c r="Y15" s="540">
        <v>1475967.4433321003</v>
      </c>
      <c r="Z15" s="540">
        <v>337428.9817936389</v>
      </c>
      <c r="AA15" s="540">
        <v>512428.9817936389</v>
      </c>
      <c r="AB15" s="540">
        <v>367726.60084125795</v>
      </c>
      <c r="AC15" s="541">
        <v>209601.60084125795</v>
      </c>
      <c r="AD15" s="539">
        <v>286587.31512697227</v>
      </c>
      <c r="AE15" s="540">
        <v>286587.31512697227</v>
      </c>
      <c r="AF15" s="540">
        <v>283125.77666543378</v>
      </c>
      <c r="AG15" s="540">
        <v>267649.5861892433</v>
      </c>
      <c r="AH15" s="540">
        <v>267649.5861892433</v>
      </c>
      <c r="AI15" s="540">
        <v>250938.48501277273</v>
      </c>
      <c r="AJ15" s="540">
        <v>274585.37593348068</v>
      </c>
      <c r="AK15" s="540">
        <v>103821.92885424415</v>
      </c>
      <c r="AL15" s="540">
        <v>103821.92885424415</v>
      </c>
      <c r="AM15" s="540">
        <v>90360.390392705682</v>
      </c>
      <c r="AN15" s="540">
        <v>90360.390392705682</v>
      </c>
      <c r="AO15" s="541">
        <v>90360.390392705682</v>
      </c>
      <c r="AP15" s="538"/>
    </row>
    <row r="16" spans="2:42" ht="72.599999999999994" hidden="1" thickBot="1" x14ac:dyDescent="0.35">
      <c r="C16" s="601" t="s">
        <v>492</v>
      </c>
      <c r="D16" s="602" t="s">
        <v>493</v>
      </c>
      <c r="E16" s="603">
        <v>45658</v>
      </c>
      <c r="F16" s="603">
        <v>46752</v>
      </c>
      <c r="G16" s="604">
        <v>1094</v>
      </c>
      <c r="H16" s="604" t="s">
        <v>490</v>
      </c>
      <c r="I16" s="604" t="s">
        <v>491</v>
      </c>
      <c r="J16" s="605">
        <v>551942398</v>
      </c>
      <c r="K16" s="617">
        <v>8426601.4961832054</v>
      </c>
      <c r="L16" s="606">
        <v>44608.375877226463</v>
      </c>
      <c r="M16" s="605">
        <v>44608.375877226463</v>
      </c>
      <c r="N16" s="605">
        <v>58348.835877226462</v>
      </c>
      <c r="O16" s="605">
        <v>44608.375877226463</v>
      </c>
      <c r="P16" s="605">
        <v>58348.835877226462</v>
      </c>
      <c r="Q16" s="607">
        <v>1261275.0425438932</v>
      </c>
      <c r="R16" s="608">
        <v>604952.81038703036</v>
      </c>
      <c r="S16" s="609">
        <v>541473.43736397498</v>
      </c>
      <c r="T16" s="609">
        <v>245806.77736397501</v>
      </c>
      <c r="U16" s="609">
        <v>452724.28069730836</v>
      </c>
      <c r="V16" s="609">
        <v>241265.107363975</v>
      </c>
      <c r="W16" s="609">
        <v>1399598.4406973084</v>
      </c>
      <c r="X16" s="609">
        <v>359598.44069730834</v>
      </c>
      <c r="Y16" s="609">
        <v>1314231.7740306417</v>
      </c>
      <c r="Z16" s="609">
        <v>162231.77403064168</v>
      </c>
      <c r="AA16" s="609">
        <v>337231.77403064165</v>
      </c>
      <c r="AB16" s="609">
        <v>250565.10736397502</v>
      </c>
      <c r="AC16" s="610">
        <v>92440.10736397501</v>
      </c>
      <c r="AD16" s="608">
        <v>88473.440697308339</v>
      </c>
      <c r="AE16" s="609">
        <v>88473.440697308339</v>
      </c>
      <c r="AF16" s="609">
        <v>85011.90223576987</v>
      </c>
      <c r="AG16" s="609">
        <v>69535.711759579397</v>
      </c>
      <c r="AH16" s="609">
        <v>69535.711759579397</v>
      </c>
      <c r="AI16" s="609">
        <v>52824.610583108813</v>
      </c>
      <c r="AJ16" s="609">
        <v>76471.501503816791</v>
      </c>
      <c r="AK16" s="609">
        <v>76471.501503816791</v>
      </c>
      <c r="AL16" s="609">
        <v>76471.501503816791</v>
      </c>
      <c r="AM16" s="609">
        <v>76471.501503816791</v>
      </c>
      <c r="AN16" s="609">
        <v>76471.501503816791</v>
      </c>
      <c r="AO16" s="610">
        <v>76471.501503816791</v>
      </c>
    </row>
    <row r="17" spans="2:41" ht="43.2" hidden="1" x14ac:dyDescent="0.3">
      <c r="C17" s="755" t="s">
        <v>494</v>
      </c>
      <c r="D17" s="763" t="s">
        <v>495</v>
      </c>
      <c r="E17" s="757">
        <v>45839</v>
      </c>
      <c r="F17" s="758">
        <v>46752</v>
      </c>
      <c r="G17" s="747">
        <v>913</v>
      </c>
      <c r="H17" s="611" t="s">
        <v>490</v>
      </c>
      <c r="I17" s="611" t="s">
        <v>491</v>
      </c>
      <c r="J17" s="612">
        <v>276248659.49000001</v>
      </c>
      <c r="K17" s="618">
        <v>4217536.7861068705</v>
      </c>
      <c r="L17" s="614">
        <v>44608.375877226463</v>
      </c>
      <c r="M17" s="613">
        <v>44608.375877226463</v>
      </c>
      <c r="N17" s="613">
        <v>58348.835877226462</v>
      </c>
      <c r="O17" s="613">
        <v>44608.375877226463</v>
      </c>
      <c r="P17" s="613">
        <v>58348.835877226462</v>
      </c>
      <c r="Q17" s="615">
        <v>1261275.0425438932</v>
      </c>
      <c r="R17" s="813"/>
      <c r="S17" s="814"/>
      <c r="T17" s="814"/>
      <c r="U17" s="814"/>
      <c r="V17" s="814"/>
      <c r="W17" s="814"/>
      <c r="X17" s="814"/>
      <c r="Y17" s="814"/>
      <c r="Z17" s="814"/>
      <c r="AA17" s="814"/>
      <c r="AB17" s="814"/>
      <c r="AC17" s="815"/>
      <c r="AD17" s="813"/>
      <c r="AE17" s="814"/>
      <c r="AF17" s="814"/>
      <c r="AG17" s="814"/>
      <c r="AH17" s="814"/>
      <c r="AI17" s="814"/>
      <c r="AJ17" s="814"/>
      <c r="AK17" s="814"/>
      <c r="AL17" s="814"/>
      <c r="AM17" s="814"/>
      <c r="AN17" s="814"/>
      <c r="AO17" s="815"/>
    </row>
    <row r="18" spans="2:41" ht="28.8" hidden="1" x14ac:dyDescent="0.3">
      <c r="C18" s="788" t="s">
        <v>4</v>
      </c>
      <c r="D18" s="885" t="s">
        <v>496</v>
      </c>
      <c r="E18" s="886"/>
      <c r="F18" s="887"/>
      <c r="G18" s="888">
        <v>0</v>
      </c>
      <c r="H18" s="889"/>
      <c r="I18" s="889"/>
      <c r="J18" s="890"/>
      <c r="K18" s="891">
        <v>0</v>
      </c>
      <c r="L18" s="892"/>
      <c r="M18" s="890"/>
      <c r="N18" s="890"/>
      <c r="O18" s="890"/>
      <c r="P18" s="890"/>
      <c r="Q18" s="893"/>
      <c r="R18" s="894"/>
      <c r="S18" s="895"/>
      <c r="T18" s="895"/>
      <c r="U18" s="895"/>
      <c r="V18" s="895"/>
      <c r="W18" s="895"/>
      <c r="X18" s="895"/>
      <c r="Y18" s="895"/>
      <c r="Z18" s="895"/>
      <c r="AA18" s="895"/>
      <c r="AB18" s="895"/>
      <c r="AC18" s="896"/>
      <c r="AD18" s="894"/>
      <c r="AE18" s="895"/>
      <c r="AF18" s="895"/>
      <c r="AG18" s="895"/>
      <c r="AH18" s="895"/>
      <c r="AI18" s="895"/>
      <c r="AJ18" s="895"/>
      <c r="AK18" s="895"/>
      <c r="AL18" s="895"/>
      <c r="AM18" s="895"/>
      <c r="AN18" s="895"/>
      <c r="AO18" s="896"/>
    </row>
    <row r="19" spans="2:41" x14ac:dyDescent="0.3">
      <c r="B19" s="1067" t="s">
        <v>1488</v>
      </c>
      <c r="C19" s="1117" t="s">
        <v>1484</v>
      </c>
      <c r="D19" s="1118"/>
      <c r="E19" s="1118"/>
      <c r="F19" s="1118"/>
      <c r="G19" s="1118"/>
      <c r="H19" s="1118"/>
      <c r="I19" s="1118"/>
      <c r="J19" s="1118"/>
      <c r="K19" s="1118"/>
      <c r="L19" s="1118"/>
      <c r="M19" s="1118"/>
      <c r="N19" s="1118"/>
      <c r="O19" s="1118"/>
      <c r="P19" s="1118"/>
      <c r="Q19" s="1118"/>
      <c r="R19" s="1118"/>
      <c r="S19" s="1118"/>
      <c r="T19" s="1118"/>
      <c r="U19" s="1118"/>
      <c r="V19" s="1118"/>
      <c r="W19" s="1118"/>
      <c r="X19" s="1118"/>
      <c r="Y19" s="1118"/>
      <c r="Z19" s="1118"/>
      <c r="AA19" s="1118"/>
      <c r="AB19" s="1118"/>
      <c r="AC19" s="1118"/>
      <c r="AD19" s="1118"/>
      <c r="AE19" s="1118"/>
      <c r="AF19" s="1118"/>
      <c r="AG19" s="1118"/>
      <c r="AH19" s="1118"/>
      <c r="AI19" s="1118"/>
      <c r="AJ19" s="1118"/>
      <c r="AK19" s="1118"/>
      <c r="AL19" s="1118"/>
      <c r="AM19" s="1118"/>
      <c r="AN19" s="1118"/>
      <c r="AO19" s="1119"/>
    </row>
    <row r="20" spans="2:41" ht="57.6" x14ac:dyDescent="0.3">
      <c r="B20" s="1068"/>
      <c r="C20" s="759" t="s">
        <v>4</v>
      </c>
      <c r="D20" s="763" t="s">
        <v>1459</v>
      </c>
      <c r="E20" s="761">
        <v>45839</v>
      </c>
      <c r="F20" s="762">
        <v>46568</v>
      </c>
      <c r="G20" s="708">
        <v>729</v>
      </c>
      <c r="H20" s="55" t="s">
        <v>490</v>
      </c>
      <c r="I20" s="55" t="s">
        <v>491</v>
      </c>
      <c r="J20" s="795">
        <v>3275000</v>
      </c>
      <c r="K20" s="866">
        <v>50000</v>
      </c>
      <c r="L20" s="83">
        <v>0</v>
      </c>
      <c r="M20" s="64">
        <v>0</v>
      </c>
      <c r="N20" s="64">
        <v>0</v>
      </c>
      <c r="O20" s="64">
        <v>0</v>
      </c>
      <c r="P20" s="64">
        <v>0</v>
      </c>
      <c r="Q20" s="32"/>
      <c r="R20" s="745"/>
      <c r="S20" s="795"/>
      <c r="T20" s="795"/>
      <c r="U20" s="746"/>
      <c r="V20" s="795"/>
      <c r="W20" s="795"/>
      <c r="X20" s="746"/>
      <c r="Y20" s="795"/>
      <c r="Z20" s="795"/>
      <c r="AA20" s="746"/>
      <c r="AB20" s="795"/>
      <c r="AC20" s="796"/>
      <c r="AD20" s="745"/>
      <c r="AE20" s="795"/>
      <c r="AF20" s="795"/>
      <c r="AG20" s="746"/>
      <c r="AH20" s="795"/>
      <c r="AI20" s="795"/>
      <c r="AJ20" s="746"/>
      <c r="AK20" s="795"/>
      <c r="AL20" s="795"/>
      <c r="AM20" s="795"/>
      <c r="AN20" s="795"/>
      <c r="AO20" s="796"/>
    </row>
    <row r="21" spans="2:41" ht="72" hidden="1" customHeight="1" x14ac:dyDescent="0.3">
      <c r="B21" s="1068"/>
      <c r="C21" s="759" t="s">
        <v>497</v>
      </c>
      <c r="D21" s="763" t="s">
        <v>1388</v>
      </c>
      <c r="E21" s="764">
        <v>45839</v>
      </c>
      <c r="F21" s="765">
        <v>46598</v>
      </c>
      <c r="G21" s="748">
        <v>759</v>
      </c>
      <c r="H21" s="42" t="s">
        <v>490</v>
      </c>
      <c r="I21" s="56" t="s">
        <v>499</v>
      </c>
      <c r="J21" s="798">
        <v>0</v>
      </c>
      <c r="K21" s="867">
        <v>0</v>
      </c>
      <c r="L21" s="84"/>
      <c r="M21" s="65"/>
      <c r="N21" s="65"/>
      <c r="O21" s="65"/>
      <c r="P21" s="65"/>
      <c r="Q21" s="33"/>
      <c r="R21" s="84"/>
      <c r="S21" s="798"/>
      <c r="T21" s="798"/>
      <c r="U21" s="65"/>
      <c r="V21" s="798"/>
      <c r="W21" s="798"/>
      <c r="X21" s="65"/>
      <c r="Y21" s="798"/>
      <c r="Z21" s="798"/>
      <c r="AA21" s="65"/>
      <c r="AB21" s="798"/>
      <c r="AC21" s="799"/>
      <c r="AD21" s="84"/>
      <c r="AE21" s="798"/>
      <c r="AF21" s="798"/>
      <c r="AG21" s="65"/>
      <c r="AH21" s="798"/>
      <c r="AI21" s="798"/>
      <c r="AJ21" s="65"/>
      <c r="AK21" s="798"/>
      <c r="AL21" s="798"/>
      <c r="AM21" s="798"/>
      <c r="AN21" s="798"/>
      <c r="AO21" s="799"/>
    </row>
    <row r="22" spans="2:41" ht="28.95" hidden="1" customHeight="1" x14ac:dyDescent="0.3">
      <c r="B22" s="1068"/>
      <c r="C22" s="759" t="s">
        <v>500</v>
      </c>
      <c r="D22" s="763" t="s">
        <v>1389</v>
      </c>
      <c r="E22" s="764">
        <v>45839</v>
      </c>
      <c r="F22" s="765">
        <v>46568</v>
      </c>
      <c r="G22" s="748">
        <v>729</v>
      </c>
      <c r="H22" s="42" t="s">
        <v>490</v>
      </c>
      <c r="I22" s="42" t="s">
        <v>491</v>
      </c>
      <c r="J22" s="798">
        <v>0</v>
      </c>
      <c r="K22" s="867">
        <v>0</v>
      </c>
      <c r="L22" s="84"/>
      <c r="M22" s="65"/>
      <c r="N22" s="65"/>
      <c r="O22" s="65"/>
      <c r="P22" s="65"/>
      <c r="Q22" s="33"/>
      <c r="R22" s="84"/>
      <c r="S22" s="798"/>
      <c r="T22" s="798"/>
      <c r="U22" s="65"/>
      <c r="V22" s="798"/>
      <c r="W22" s="798"/>
      <c r="X22" s="65"/>
      <c r="Y22" s="798"/>
      <c r="Z22" s="798"/>
      <c r="AA22" s="65"/>
      <c r="AB22" s="798"/>
      <c r="AC22" s="799"/>
      <c r="AD22" s="84"/>
      <c r="AE22" s="798"/>
      <c r="AF22" s="798"/>
      <c r="AG22" s="65"/>
      <c r="AH22" s="798"/>
      <c r="AI22" s="798"/>
      <c r="AJ22" s="65"/>
      <c r="AK22" s="798"/>
      <c r="AL22" s="798"/>
      <c r="AM22" s="798"/>
      <c r="AN22" s="798"/>
      <c r="AO22" s="799"/>
    </row>
    <row r="23" spans="2:41" ht="28.8" x14ac:dyDescent="0.3">
      <c r="B23" s="1068"/>
      <c r="C23" s="759" t="s">
        <v>502</v>
      </c>
      <c r="D23" s="763" t="s">
        <v>1460</v>
      </c>
      <c r="E23" s="761">
        <v>45839</v>
      </c>
      <c r="F23" s="762">
        <v>46568</v>
      </c>
      <c r="G23" s="708">
        <v>729</v>
      </c>
      <c r="H23" s="39" t="s">
        <v>4</v>
      </c>
      <c r="I23" s="39" t="s">
        <v>491</v>
      </c>
      <c r="J23" s="795">
        <v>0</v>
      </c>
      <c r="K23" s="866">
        <v>0</v>
      </c>
      <c r="L23" s="83">
        <v>0</v>
      </c>
      <c r="M23" s="64">
        <v>0</v>
      </c>
      <c r="N23" s="64">
        <v>0</v>
      </c>
      <c r="O23" s="64">
        <v>0</v>
      </c>
      <c r="P23" s="64">
        <v>0</v>
      </c>
      <c r="Q23" s="32">
        <v>0</v>
      </c>
      <c r="R23" s="745"/>
      <c r="S23" s="795"/>
      <c r="T23" s="795"/>
      <c r="U23" s="746"/>
      <c r="V23" s="795"/>
      <c r="W23" s="795"/>
      <c r="X23" s="746"/>
      <c r="Y23" s="795"/>
      <c r="Z23" s="795"/>
      <c r="AA23" s="746"/>
      <c r="AB23" s="795"/>
      <c r="AC23" s="796"/>
      <c r="AD23" s="745"/>
      <c r="AE23" s="795"/>
      <c r="AF23" s="795"/>
      <c r="AG23" s="746"/>
      <c r="AH23" s="795"/>
      <c r="AI23" s="795"/>
      <c r="AJ23" s="746"/>
      <c r="AK23" s="795"/>
      <c r="AL23" s="795"/>
      <c r="AM23" s="795"/>
      <c r="AN23" s="795"/>
      <c r="AO23" s="796"/>
    </row>
    <row r="24" spans="2:41" ht="57.6" hidden="1" customHeight="1" x14ac:dyDescent="0.3">
      <c r="B24" s="1068"/>
      <c r="C24" s="759" t="s">
        <v>504</v>
      </c>
      <c r="D24" s="763" t="s">
        <v>1390</v>
      </c>
      <c r="E24" s="764">
        <v>45839</v>
      </c>
      <c r="F24" s="765">
        <v>46598</v>
      </c>
      <c r="G24" s="748">
        <v>759</v>
      </c>
      <c r="H24" s="40" t="s">
        <v>497</v>
      </c>
      <c r="I24" s="40" t="s">
        <v>506</v>
      </c>
      <c r="J24" s="798">
        <v>0</v>
      </c>
      <c r="K24" s="867">
        <v>0</v>
      </c>
      <c r="L24" s="84"/>
      <c r="M24" s="65"/>
      <c r="N24" s="65"/>
      <c r="O24" s="65"/>
      <c r="P24" s="65"/>
      <c r="Q24" s="33"/>
      <c r="R24" s="84"/>
      <c r="S24" s="65"/>
      <c r="T24" s="65"/>
      <c r="U24" s="65"/>
      <c r="V24" s="65"/>
      <c r="W24" s="65"/>
      <c r="X24" s="65"/>
      <c r="Y24" s="65"/>
      <c r="Z24" s="65"/>
      <c r="AA24" s="65"/>
      <c r="AB24" s="65"/>
      <c r="AC24" s="33"/>
      <c r="AD24" s="84"/>
      <c r="AE24" s="65"/>
      <c r="AF24" s="65"/>
      <c r="AG24" s="65"/>
      <c r="AH24" s="65"/>
      <c r="AI24" s="65"/>
      <c r="AJ24" s="65"/>
      <c r="AK24" s="65"/>
      <c r="AL24" s="65"/>
      <c r="AM24" s="65"/>
      <c r="AN24" s="65"/>
      <c r="AO24" s="33"/>
    </row>
    <row r="25" spans="2:41" ht="28.95" hidden="1" customHeight="1" x14ac:dyDescent="0.3">
      <c r="B25" s="1068"/>
      <c r="C25" s="759" t="s">
        <v>506</v>
      </c>
      <c r="D25" s="763" t="s">
        <v>1391</v>
      </c>
      <c r="E25" s="764">
        <v>45839</v>
      </c>
      <c r="F25" s="765">
        <v>46568</v>
      </c>
      <c r="G25" s="748">
        <v>729</v>
      </c>
      <c r="H25" s="40" t="s">
        <v>504</v>
      </c>
      <c r="I25" s="40" t="s">
        <v>491</v>
      </c>
      <c r="J25" s="798">
        <v>0</v>
      </c>
      <c r="K25" s="867">
        <v>0</v>
      </c>
      <c r="L25" s="84"/>
      <c r="M25" s="65"/>
      <c r="N25" s="65"/>
      <c r="O25" s="65"/>
      <c r="P25" s="65"/>
      <c r="Q25" s="33"/>
      <c r="R25" s="84"/>
      <c r="S25" s="65"/>
      <c r="T25" s="65"/>
      <c r="U25" s="65"/>
      <c r="V25" s="65"/>
      <c r="W25" s="65"/>
      <c r="X25" s="65"/>
      <c r="Y25" s="65"/>
      <c r="Z25" s="65"/>
      <c r="AA25" s="65"/>
      <c r="AB25" s="65"/>
      <c r="AC25" s="33"/>
      <c r="AD25" s="84"/>
      <c r="AE25" s="65"/>
      <c r="AF25" s="65"/>
      <c r="AG25" s="65"/>
      <c r="AH25" s="65"/>
      <c r="AI25" s="65"/>
      <c r="AJ25" s="65"/>
      <c r="AK25" s="65"/>
      <c r="AL25" s="65"/>
      <c r="AM25" s="65"/>
      <c r="AN25" s="65"/>
      <c r="AO25" s="33"/>
    </row>
    <row r="26" spans="2:41" ht="43.2" hidden="1" customHeight="1" x14ac:dyDescent="0.3">
      <c r="B26" s="1068"/>
      <c r="C26" s="759" t="s">
        <v>508</v>
      </c>
      <c r="D26" s="763" t="s">
        <v>1392</v>
      </c>
      <c r="E26" s="764">
        <v>45853</v>
      </c>
      <c r="F26" s="765">
        <v>46568</v>
      </c>
      <c r="G26" s="748">
        <v>715</v>
      </c>
      <c r="H26" s="40" t="s">
        <v>490</v>
      </c>
      <c r="I26" s="40" t="s">
        <v>491</v>
      </c>
      <c r="J26" s="798">
        <v>0</v>
      </c>
      <c r="K26" s="867">
        <v>0</v>
      </c>
      <c r="L26" s="84"/>
      <c r="M26" s="65"/>
      <c r="N26" s="65"/>
      <c r="O26" s="65"/>
      <c r="P26" s="65"/>
      <c r="Q26" s="33"/>
      <c r="R26" s="84"/>
      <c r="S26" s="65"/>
      <c r="T26" s="65"/>
      <c r="U26" s="65"/>
      <c r="V26" s="65"/>
      <c r="W26" s="65"/>
      <c r="X26" s="65"/>
      <c r="Y26" s="65"/>
      <c r="Z26" s="65"/>
      <c r="AA26" s="65"/>
      <c r="AB26" s="65"/>
      <c r="AC26" s="33"/>
      <c r="AD26" s="84"/>
      <c r="AE26" s="65"/>
      <c r="AF26" s="65"/>
      <c r="AG26" s="65"/>
      <c r="AH26" s="65"/>
      <c r="AI26" s="65"/>
      <c r="AJ26" s="65"/>
      <c r="AK26" s="65"/>
      <c r="AL26" s="65"/>
      <c r="AM26" s="65"/>
      <c r="AN26" s="65"/>
      <c r="AO26" s="33"/>
    </row>
    <row r="27" spans="2:41" ht="28.8" x14ac:dyDescent="0.3">
      <c r="B27" s="1068"/>
      <c r="C27" s="759" t="s">
        <v>510</v>
      </c>
      <c r="D27" s="763" t="s">
        <v>1461</v>
      </c>
      <c r="E27" s="761">
        <v>45658</v>
      </c>
      <c r="F27" s="762">
        <v>46387</v>
      </c>
      <c r="G27" s="708">
        <v>729</v>
      </c>
      <c r="H27" s="39" t="s">
        <v>497</v>
      </c>
      <c r="I27" s="39" t="s">
        <v>491</v>
      </c>
      <c r="J27" s="795">
        <v>0</v>
      </c>
      <c r="K27" s="866">
        <v>0</v>
      </c>
      <c r="L27" s="83">
        <v>0</v>
      </c>
      <c r="M27" s="64">
        <v>0</v>
      </c>
      <c r="N27" s="64">
        <v>0</v>
      </c>
      <c r="O27" s="64">
        <v>0</v>
      </c>
      <c r="P27" s="64">
        <v>0</v>
      </c>
      <c r="Q27" s="32">
        <v>0</v>
      </c>
      <c r="R27" s="745"/>
      <c r="S27" s="746"/>
      <c r="T27" s="746"/>
      <c r="U27" s="746"/>
      <c r="V27" s="746"/>
      <c r="W27" s="746"/>
      <c r="X27" s="746"/>
      <c r="Y27" s="746"/>
      <c r="Z27" s="746"/>
      <c r="AA27" s="746"/>
      <c r="AB27" s="746"/>
      <c r="AC27" s="812"/>
      <c r="AD27" s="745"/>
      <c r="AE27" s="746"/>
      <c r="AF27" s="746"/>
      <c r="AG27" s="746"/>
      <c r="AH27" s="746"/>
      <c r="AI27" s="746"/>
      <c r="AJ27" s="746"/>
      <c r="AK27" s="746"/>
      <c r="AL27" s="746"/>
      <c r="AM27" s="746"/>
      <c r="AN27" s="746"/>
      <c r="AO27" s="812"/>
    </row>
    <row r="28" spans="2:41" ht="28.95" hidden="1" customHeight="1" x14ac:dyDescent="0.3">
      <c r="B28" s="1068"/>
      <c r="C28" s="759" t="s">
        <v>512</v>
      </c>
      <c r="D28" s="763" t="s">
        <v>1393</v>
      </c>
      <c r="E28" s="436">
        <v>45839</v>
      </c>
      <c r="F28" s="766">
        <v>46387</v>
      </c>
      <c r="G28" s="748">
        <v>548</v>
      </c>
      <c r="H28" s="40" t="s">
        <v>497</v>
      </c>
      <c r="I28" s="40" t="s">
        <v>514</v>
      </c>
      <c r="J28" s="798">
        <v>0</v>
      </c>
      <c r="K28" s="867">
        <v>0</v>
      </c>
      <c r="L28" s="84"/>
      <c r="M28" s="65"/>
      <c r="N28" s="65"/>
      <c r="O28" s="65"/>
      <c r="P28" s="65"/>
      <c r="Q28" s="33"/>
      <c r="R28" s="797"/>
      <c r="S28" s="798"/>
      <c r="T28" s="798"/>
      <c r="U28" s="798"/>
      <c r="V28" s="798"/>
      <c r="W28" s="798"/>
      <c r="X28" s="798"/>
      <c r="Y28" s="798"/>
      <c r="Z28" s="798"/>
      <c r="AA28" s="798"/>
      <c r="AB28" s="798"/>
      <c r="AC28" s="799"/>
      <c r="AD28" s="797"/>
      <c r="AE28" s="798"/>
      <c r="AF28" s="798"/>
      <c r="AG28" s="798"/>
      <c r="AH28" s="798"/>
      <c r="AI28" s="798"/>
      <c r="AJ28" s="798"/>
      <c r="AK28" s="798"/>
      <c r="AL28" s="798"/>
      <c r="AM28" s="798"/>
      <c r="AN28" s="798"/>
      <c r="AO28" s="799"/>
    </row>
    <row r="29" spans="2:41" ht="14.4" hidden="1" customHeight="1" x14ac:dyDescent="0.3">
      <c r="B29" s="1068"/>
      <c r="C29" s="759" t="s">
        <v>514</v>
      </c>
      <c r="D29" s="763" t="s">
        <v>1394</v>
      </c>
      <c r="E29" s="436">
        <v>45839</v>
      </c>
      <c r="F29" s="766">
        <v>46387</v>
      </c>
      <c r="G29" s="748">
        <v>548</v>
      </c>
      <c r="H29" s="40" t="s">
        <v>512</v>
      </c>
      <c r="I29" s="40" t="s">
        <v>516</v>
      </c>
      <c r="J29" s="798">
        <v>0</v>
      </c>
      <c r="K29" s="867">
        <v>0</v>
      </c>
      <c r="L29" s="84"/>
      <c r="M29" s="65"/>
      <c r="N29" s="65"/>
      <c r="O29" s="65"/>
      <c r="P29" s="65"/>
      <c r="Q29" s="33"/>
      <c r="R29" s="797"/>
      <c r="S29" s="798"/>
      <c r="T29" s="798"/>
      <c r="U29" s="798"/>
      <c r="V29" s="798"/>
      <c r="W29" s="798"/>
      <c r="X29" s="798"/>
      <c r="Y29" s="798"/>
      <c r="Z29" s="798"/>
      <c r="AA29" s="798"/>
      <c r="AB29" s="798"/>
      <c r="AC29" s="799"/>
      <c r="AD29" s="797"/>
      <c r="AE29" s="798"/>
      <c r="AF29" s="798"/>
      <c r="AG29" s="798"/>
      <c r="AH29" s="798"/>
      <c r="AI29" s="798"/>
      <c r="AJ29" s="798"/>
      <c r="AK29" s="798"/>
      <c r="AL29" s="798"/>
      <c r="AM29" s="798"/>
      <c r="AN29" s="798"/>
      <c r="AO29" s="799"/>
    </row>
    <row r="30" spans="2:41" ht="43.2" hidden="1" customHeight="1" x14ac:dyDescent="0.3">
      <c r="B30" s="1068"/>
      <c r="C30" s="759" t="s">
        <v>516</v>
      </c>
      <c r="D30" s="763" t="s">
        <v>1395</v>
      </c>
      <c r="E30" s="436">
        <v>45839</v>
      </c>
      <c r="F30" s="766">
        <v>46387</v>
      </c>
      <c r="G30" s="748">
        <v>548</v>
      </c>
      <c r="H30" s="40" t="s">
        <v>514</v>
      </c>
      <c r="I30" s="40" t="s">
        <v>518</v>
      </c>
      <c r="J30" s="798">
        <v>0</v>
      </c>
      <c r="K30" s="867">
        <v>0</v>
      </c>
      <c r="L30" s="84"/>
      <c r="M30" s="65"/>
      <c r="N30" s="65"/>
      <c r="O30" s="65"/>
      <c r="P30" s="65"/>
      <c r="Q30" s="33"/>
      <c r="R30" s="797"/>
      <c r="S30" s="798"/>
      <c r="T30" s="798"/>
      <c r="U30" s="798"/>
      <c r="V30" s="798"/>
      <c r="W30" s="798"/>
      <c r="X30" s="798"/>
      <c r="Y30" s="798"/>
      <c r="Z30" s="798"/>
      <c r="AA30" s="798"/>
      <c r="AB30" s="798"/>
      <c r="AC30" s="799"/>
      <c r="AD30" s="797"/>
      <c r="AE30" s="798"/>
      <c r="AF30" s="798"/>
      <c r="AG30" s="798"/>
      <c r="AH30" s="798"/>
      <c r="AI30" s="798"/>
      <c r="AJ30" s="798"/>
      <c r="AK30" s="798"/>
      <c r="AL30" s="798"/>
      <c r="AM30" s="798"/>
      <c r="AN30" s="798"/>
      <c r="AO30" s="799"/>
    </row>
    <row r="31" spans="2:41" ht="28.95" hidden="1" customHeight="1" x14ac:dyDescent="0.3">
      <c r="B31" s="1068"/>
      <c r="C31" s="759" t="s">
        <v>518</v>
      </c>
      <c r="D31" s="763" t="s">
        <v>1396</v>
      </c>
      <c r="E31" s="436">
        <v>45839</v>
      </c>
      <c r="F31" s="766">
        <v>46387</v>
      </c>
      <c r="G31" s="748">
        <v>548</v>
      </c>
      <c r="H31" s="40" t="s">
        <v>516</v>
      </c>
      <c r="I31" s="40" t="s">
        <v>520</v>
      </c>
      <c r="J31" s="798">
        <v>0</v>
      </c>
      <c r="K31" s="867">
        <v>0</v>
      </c>
      <c r="L31" s="84"/>
      <c r="M31" s="65"/>
      <c r="N31" s="65"/>
      <c r="O31" s="65"/>
      <c r="P31" s="65"/>
      <c r="Q31" s="33"/>
      <c r="R31" s="797"/>
      <c r="S31" s="798"/>
      <c r="T31" s="798"/>
      <c r="U31" s="798"/>
      <c r="V31" s="798"/>
      <c r="W31" s="798"/>
      <c r="X31" s="798"/>
      <c r="Y31" s="798"/>
      <c r="Z31" s="798"/>
      <c r="AA31" s="798"/>
      <c r="AB31" s="798"/>
      <c r="AC31" s="799"/>
      <c r="AD31" s="797"/>
      <c r="AE31" s="798"/>
      <c r="AF31" s="798"/>
      <c r="AG31" s="798"/>
      <c r="AH31" s="798"/>
      <c r="AI31" s="798"/>
      <c r="AJ31" s="798"/>
      <c r="AK31" s="798"/>
      <c r="AL31" s="798"/>
      <c r="AM31" s="798"/>
      <c r="AN31" s="798"/>
      <c r="AO31" s="799"/>
    </row>
    <row r="32" spans="2:41" ht="28.95" hidden="1" customHeight="1" x14ac:dyDescent="0.3">
      <c r="B32" s="1068"/>
      <c r="C32" s="759" t="s">
        <v>520</v>
      </c>
      <c r="D32" s="763" t="s">
        <v>1397</v>
      </c>
      <c r="E32" s="436">
        <v>45839</v>
      </c>
      <c r="F32" s="766">
        <v>46387</v>
      </c>
      <c r="G32" s="748">
        <v>548</v>
      </c>
      <c r="H32" s="40" t="s">
        <v>518</v>
      </c>
      <c r="I32" s="40" t="s">
        <v>491</v>
      </c>
      <c r="J32" s="798">
        <v>0</v>
      </c>
      <c r="K32" s="867">
        <v>0</v>
      </c>
      <c r="L32" s="84"/>
      <c r="M32" s="65"/>
      <c r="N32" s="65"/>
      <c r="O32" s="65"/>
      <c r="P32" s="65"/>
      <c r="Q32" s="33"/>
      <c r="R32" s="797"/>
      <c r="S32" s="798"/>
      <c r="T32" s="798"/>
      <c r="U32" s="798"/>
      <c r="V32" s="798"/>
      <c r="W32" s="798"/>
      <c r="X32" s="798"/>
      <c r="Y32" s="798"/>
      <c r="Z32" s="798"/>
      <c r="AA32" s="798"/>
      <c r="AB32" s="798"/>
      <c r="AC32" s="799"/>
      <c r="AD32" s="797"/>
      <c r="AE32" s="798"/>
      <c r="AF32" s="798"/>
      <c r="AG32" s="798"/>
      <c r="AH32" s="798"/>
      <c r="AI32" s="798"/>
      <c r="AJ32" s="798"/>
      <c r="AK32" s="798"/>
      <c r="AL32" s="798"/>
      <c r="AM32" s="798"/>
      <c r="AN32" s="798"/>
      <c r="AO32" s="799"/>
    </row>
    <row r="33" spans="2:41" ht="28.8" x14ac:dyDescent="0.3">
      <c r="B33" s="1068"/>
      <c r="C33" s="759" t="s">
        <v>522</v>
      </c>
      <c r="D33" s="763" t="s">
        <v>1462</v>
      </c>
      <c r="E33" s="761">
        <v>45839</v>
      </c>
      <c r="F33" s="762">
        <v>46387</v>
      </c>
      <c r="G33" s="708">
        <v>548</v>
      </c>
      <c r="H33" s="39" t="s">
        <v>490</v>
      </c>
      <c r="I33" s="39" t="s">
        <v>491</v>
      </c>
      <c r="J33" s="795">
        <v>0</v>
      </c>
      <c r="K33" s="866">
        <v>0</v>
      </c>
      <c r="L33" s="83">
        <v>0</v>
      </c>
      <c r="M33" s="64">
        <v>0</v>
      </c>
      <c r="N33" s="64">
        <v>0</v>
      </c>
      <c r="O33" s="64">
        <v>0</v>
      </c>
      <c r="P33" s="64">
        <v>0</v>
      </c>
      <c r="Q33" s="32">
        <v>0</v>
      </c>
      <c r="R33" s="745"/>
      <c r="S33" s="795"/>
      <c r="T33" s="795"/>
      <c r="U33" s="746"/>
      <c r="V33" s="795"/>
      <c r="W33" s="795"/>
      <c r="X33" s="746"/>
      <c r="Y33" s="795"/>
      <c r="Z33" s="795"/>
      <c r="AA33" s="746"/>
      <c r="AB33" s="795"/>
      <c r="AC33" s="796"/>
      <c r="AD33" s="745"/>
      <c r="AE33" s="795"/>
      <c r="AF33" s="795"/>
      <c r="AG33" s="746"/>
      <c r="AH33" s="795"/>
      <c r="AI33" s="795"/>
      <c r="AJ33" s="746"/>
      <c r="AK33" s="795"/>
      <c r="AL33" s="795"/>
      <c r="AM33" s="746"/>
      <c r="AN33" s="795"/>
      <c r="AO33" s="796"/>
    </row>
    <row r="34" spans="2:41" ht="28.95" hidden="1" customHeight="1" x14ac:dyDescent="0.3">
      <c r="B34" s="1068"/>
      <c r="C34" s="759" t="s">
        <v>524</v>
      </c>
      <c r="D34" s="763" t="s">
        <v>1398</v>
      </c>
      <c r="E34" s="764">
        <v>45839</v>
      </c>
      <c r="F34" s="765">
        <v>46387</v>
      </c>
      <c r="G34" s="748">
        <v>548</v>
      </c>
      <c r="H34" s="40" t="s">
        <v>490</v>
      </c>
      <c r="I34" s="40" t="s">
        <v>526</v>
      </c>
      <c r="J34" s="798">
        <v>0</v>
      </c>
      <c r="K34" s="867">
        <v>0</v>
      </c>
      <c r="L34" s="84"/>
      <c r="M34" s="65"/>
      <c r="N34" s="65"/>
      <c r="O34" s="65"/>
      <c r="P34" s="65"/>
      <c r="Q34" s="33"/>
      <c r="R34" s="797"/>
      <c r="S34" s="798"/>
      <c r="T34" s="798"/>
      <c r="U34" s="798"/>
      <c r="V34" s="798"/>
      <c r="W34" s="798"/>
      <c r="X34" s="798"/>
      <c r="Y34" s="798"/>
      <c r="Z34" s="798"/>
      <c r="AA34" s="798"/>
      <c r="AB34" s="798"/>
      <c r="AC34" s="799"/>
      <c r="AD34" s="797"/>
      <c r="AE34" s="798"/>
      <c r="AF34" s="798"/>
      <c r="AG34" s="798"/>
      <c r="AH34" s="798"/>
      <c r="AI34" s="798"/>
      <c r="AJ34" s="798"/>
      <c r="AK34" s="798"/>
      <c r="AL34" s="798"/>
      <c r="AM34" s="798"/>
      <c r="AN34" s="798"/>
      <c r="AO34" s="799"/>
    </row>
    <row r="35" spans="2:41" ht="28.95" hidden="1" customHeight="1" x14ac:dyDescent="0.3">
      <c r="B35" s="1068"/>
      <c r="C35" s="759" t="s">
        <v>526</v>
      </c>
      <c r="D35" s="763" t="s">
        <v>1399</v>
      </c>
      <c r="E35" s="764">
        <v>45839</v>
      </c>
      <c r="F35" s="765">
        <v>46387</v>
      </c>
      <c r="G35" s="748">
        <v>548</v>
      </c>
      <c r="H35" s="40" t="s">
        <v>524</v>
      </c>
      <c r="I35" s="40" t="s">
        <v>528</v>
      </c>
      <c r="J35" s="798">
        <v>0</v>
      </c>
      <c r="K35" s="867">
        <v>0</v>
      </c>
      <c r="L35" s="84"/>
      <c r="M35" s="65"/>
      <c r="N35" s="65"/>
      <c r="O35" s="65"/>
      <c r="P35" s="65"/>
      <c r="Q35" s="33"/>
      <c r="R35" s="797"/>
      <c r="S35" s="798"/>
      <c r="T35" s="798"/>
      <c r="U35" s="798"/>
      <c r="V35" s="798"/>
      <c r="W35" s="798"/>
      <c r="X35" s="798"/>
      <c r="Y35" s="798"/>
      <c r="Z35" s="798"/>
      <c r="AA35" s="798"/>
      <c r="AB35" s="798"/>
      <c r="AC35" s="799"/>
      <c r="AD35" s="797"/>
      <c r="AE35" s="798"/>
      <c r="AF35" s="798"/>
      <c r="AG35" s="798"/>
      <c r="AH35" s="798"/>
      <c r="AI35" s="798"/>
      <c r="AJ35" s="798"/>
      <c r="AK35" s="798"/>
      <c r="AL35" s="798"/>
      <c r="AM35" s="798"/>
      <c r="AN35" s="798"/>
      <c r="AO35" s="799"/>
    </row>
    <row r="36" spans="2:41" ht="28.95" hidden="1" customHeight="1" x14ac:dyDescent="0.3">
      <c r="B36" s="1068"/>
      <c r="C36" s="759" t="s">
        <v>528</v>
      </c>
      <c r="D36" s="763" t="s">
        <v>1400</v>
      </c>
      <c r="E36" s="764">
        <v>45839</v>
      </c>
      <c r="F36" s="765">
        <v>46387</v>
      </c>
      <c r="G36" s="748">
        <v>548</v>
      </c>
      <c r="H36" s="40" t="s">
        <v>526</v>
      </c>
      <c r="I36" s="40" t="s">
        <v>530</v>
      </c>
      <c r="J36" s="798">
        <v>0</v>
      </c>
      <c r="K36" s="867">
        <v>0</v>
      </c>
      <c r="L36" s="84"/>
      <c r="M36" s="65"/>
      <c r="N36" s="65"/>
      <c r="O36" s="65"/>
      <c r="P36" s="65"/>
      <c r="Q36" s="33"/>
      <c r="R36" s="797"/>
      <c r="S36" s="798"/>
      <c r="T36" s="798"/>
      <c r="U36" s="798"/>
      <c r="V36" s="798"/>
      <c r="W36" s="798"/>
      <c r="X36" s="798"/>
      <c r="Y36" s="798"/>
      <c r="Z36" s="798"/>
      <c r="AA36" s="798"/>
      <c r="AB36" s="798"/>
      <c r="AC36" s="799"/>
      <c r="AD36" s="797"/>
      <c r="AE36" s="798"/>
      <c r="AF36" s="798"/>
      <c r="AG36" s="798"/>
      <c r="AH36" s="798"/>
      <c r="AI36" s="798"/>
      <c r="AJ36" s="798"/>
      <c r="AK36" s="798"/>
      <c r="AL36" s="798"/>
      <c r="AM36" s="798"/>
      <c r="AN36" s="798"/>
      <c r="AO36" s="799"/>
    </row>
    <row r="37" spans="2:41" ht="43.2" hidden="1" customHeight="1" x14ac:dyDescent="0.3">
      <c r="B37" s="1068"/>
      <c r="C37" s="759" t="s">
        <v>530</v>
      </c>
      <c r="D37" s="763" t="s">
        <v>1401</v>
      </c>
      <c r="E37" s="764">
        <v>45839</v>
      </c>
      <c r="F37" s="765">
        <v>46387</v>
      </c>
      <c r="G37" s="748">
        <v>548</v>
      </c>
      <c r="H37" s="40" t="s">
        <v>528</v>
      </c>
      <c r="I37" s="40" t="s">
        <v>532</v>
      </c>
      <c r="J37" s="798">
        <v>0</v>
      </c>
      <c r="K37" s="867">
        <v>0</v>
      </c>
      <c r="L37" s="84"/>
      <c r="M37" s="65"/>
      <c r="N37" s="65"/>
      <c r="O37" s="65"/>
      <c r="P37" s="65"/>
      <c r="Q37" s="33"/>
      <c r="R37" s="797"/>
      <c r="S37" s="798"/>
      <c r="T37" s="798"/>
      <c r="U37" s="798"/>
      <c r="V37" s="798"/>
      <c r="W37" s="798"/>
      <c r="X37" s="798"/>
      <c r="Y37" s="798"/>
      <c r="Z37" s="798"/>
      <c r="AA37" s="798"/>
      <c r="AB37" s="798"/>
      <c r="AC37" s="799"/>
      <c r="AD37" s="797"/>
      <c r="AE37" s="798"/>
      <c r="AF37" s="798"/>
      <c r="AG37" s="798"/>
      <c r="AH37" s="798"/>
      <c r="AI37" s="798"/>
      <c r="AJ37" s="798"/>
      <c r="AK37" s="798"/>
      <c r="AL37" s="798"/>
      <c r="AM37" s="798"/>
      <c r="AN37" s="798"/>
      <c r="AO37" s="799"/>
    </row>
    <row r="38" spans="2:41" ht="28.95" hidden="1" customHeight="1" x14ac:dyDescent="0.3">
      <c r="B38" s="1068"/>
      <c r="C38" s="759" t="s">
        <v>532</v>
      </c>
      <c r="D38" s="763" t="s">
        <v>1402</v>
      </c>
      <c r="E38" s="764">
        <v>45839</v>
      </c>
      <c r="F38" s="765">
        <v>46387</v>
      </c>
      <c r="G38" s="748">
        <v>548</v>
      </c>
      <c r="H38" s="40" t="s">
        <v>530</v>
      </c>
      <c r="I38" s="40" t="s">
        <v>491</v>
      </c>
      <c r="J38" s="798">
        <v>0</v>
      </c>
      <c r="K38" s="867">
        <v>0</v>
      </c>
      <c r="L38" s="84"/>
      <c r="M38" s="65"/>
      <c r="N38" s="65"/>
      <c r="O38" s="65"/>
      <c r="P38" s="65"/>
      <c r="Q38" s="33"/>
      <c r="R38" s="797"/>
      <c r="S38" s="798"/>
      <c r="T38" s="798"/>
      <c r="U38" s="798"/>
      <c r="V38" s="798"/>
      <c r="W38" s="798"/>
      <c r="X38" s="798"/>
      <c r="Y38" s="798"/>
      <c r="Z38" s="798"/>
      <c r="AA38" s="798"/>
      <c r="AB38" s="798"/>
      <c r="AC38" s="799"/>
      <c r="AD38" s="797"/>
      <c r="AE38" s="798"/>
      <c r="AF38" s="798"/>
      <c r="AG38" s="798"/>
      <c r="AH38" s="798"/>
      <c r="AI38" s="798"/>
      <c r="AJ38" s="798"/>
      <c r="AK38" s="798"/>
      <c r="AL38" s="798"/>
      <c r="AM38" s="798"/>
      <c r="AN38" s="798"/>
      <c r="AO38" s="799"/>
    </row>
    <row r="39" spans="2:41" ht="28.8" x14ac:dyDescent="0.3">
      <c r="B39" s="1068"/>
      <c r="C39" s="759" t="s">
        <v>534</v>
      </c>
      <c r="D39" s="763" t="s">
        <v>1463</v>
      </c>
      <c r="E39" s="761">
        <v>45839</v>
      </c>
      <c r="F39" s="762">
        <v>46752</v>
      </c>
      <c r="G39" s="708">
        <v>913</v>
      </c>
      <c r="H39" s="39" t="s">
        <v>502</v>
      </c>
      <c r="I39" s="39" t="s">
        <v>491</v>
      </c>
      <c r="J39" s="795">
        <v>0</v>
      </c>
      <c r="K39" s="866">
        <v>0</v>
      </c>
      <c r="L39" s="83">
        <v>0</v>
      </c>
      <c r="M39" s="64">
        <v>0</v>
      </c>
      <c r="N39" s="64">
        <v>0</v>
      </c>
      <c r="O39" s="64">
        <v>0</v>
      </c>
      <c r="P39" s="64">
        <v>0</v>
      </c>
      <c r="Q39" s="32">
        <v>0</v>
      </c>
      <c r="R39" s="745"/>
      <c r="S39" s="795"/>
      <c r="T39" s="795"/>
      <c r="U39" s="746"/>
      <c r="V39" s="795"/>
      <c r="W39" s="795"/>
      <c r="X39" s="746"/>
      <c r="Y39" s="795"/>
      <c r="Z39" s="795"/>
      <c r="AA39" s="746"/>
      <c r="AB39" s="795"/>
      <c r="AC39" s="796"/>
      <c r="AD39" s="745"/>
      <c r="AE39" s="795"/>
      <c r="AF39" s="795"/>
      <c r="AG39" s="746"/>
      <c r="AH39" s="795"/>
      <c r="AI39" s="795"/>
      <c r="AJ39" s="746"/>
      <c r="AK39" s="795"/>
      <c r="AL39" s="795"/>
      <c r="AM39" s="746"/>
      <c r="AN39" s="795"/>
      <c r="AO39" s="796"/>
    </row>
    <row r="40" spans="2:41" ht="43.2" hidden="1" customHeight="1" x14ac:dyDescent="0.3">
      <c r="B40" s="1068"/>
      <c r="C40" s="759" t="s">
        <v>536</v>
      </c>
      <c r="D40" s="763" t="s">
        <v>1403</v>
      </c>
      <c r="E40" s="764">
        <v>45839</v>
      </c>
      <c r="F40" s="765">
        <v>46752</v>
      </c>
      <c r="G40" s="748">
        <v>913</v>
      </c>
      <c r="H40" s="40" t="s">
        <v>506</v>
      </c>
      <c r="I40" s="40" t="s">
        <v>538</v>
      </c>
      <c r="J40" s="798">
        <v>0</v>
      </c>
      <c r="K40" s="867">
        <v>0</v>
      </c>
      <c r="L40" s="84">
        <v>0</v>
      </c>
      <c r="M40" s="65">
        <v>0</v>
      </c>
      <c r="N40" s="65">
        <v>0</v>
      </c>
      <c r="O40" s="65">
        <v>0</v>
      </c>
      <c r="P40" s="65">
        <v>0</v>
      </c>
      <c r="Q40" s="33">
        <v>0</v>
      </c>
      <c r="R40" s="797"/>
      <c r="S40" s="798"/>
      <c r="T40" s="798"/>
      <c r="U40" s="798"/>
      <c r="V40" s="798"/>
      <c r="W40" s="798"/>
      <c r="X40" s="798"/>
      <c r="Y40" s="798"/>
      <c r="Z40" s="798"/>
      <c r="AA40" s="798"/>
      <c r="AB40" s="798"/>
      <c r="AC40" s="799"/>
      <c r="AD40" s="797"/>
      <c r="AE40" s="798"/>
      <c r="AF40" s="798"/>
      <c r="AG40" s="798"/>
      <c r="AH40" s="798"/>
      <c r="AI40" s="798"/>
      <c r="AJ40" s="798"/>
      <c r="AK40" s="798"/>
      <c r="AL40" s="798"/>
      <c r="AM40" s="798"/>
      <c r="AN40" s="798"/>
      <c r="AO40" s="799"/>
    </row>
    <row r="41" spans="2:41" ht="28.95" hidden="1" customHeight="1" x14ac:dyDescent="0.3">
      <c r="B41" s="1068"/>
      <c r="C41" s="759" t="s">
        <v>538</v>
      </c>
      <c r="D41" s="763" t="s">
        <v>1404</v>
      </c>
      <c r="E41" s="764">
        <v>45839</v>
      </c>
      <c r="F41" s="765">
        <v>46752</v>
      </c>
      <c r="G41" s="748">
        <v>913</v>
      </c>
      <c r="H41" s="40" t="s">
        <v>536</v>
      </c>
      <c r="I41" s="40" t="s">
        <v>540</v>
      </c>
      <c r="J41" s="798">
        <v>0</v>
      </c>
      <c r="K41" s="867">
        <v>0</v>
      </c>
      <c r="L41" s="84">
        <v>0</v>
      </c>
      <c r="M41" s="65">
        <v>0</v>
      </c>
      <c r="N41" s="65">
        <v>0</v>
      </c>
      <c r="O41" s="65">
        <v>0</v>
      </c>
      <c r="P41" s="65">
        <v>0</v>
      </c>
      <c r="Q41" s="33">
        <v>0</v>
      </c>
      <c r="R41" s="797"/>
      <c r="S41" s="798"/>
      <c r="T41" s="798"/>
      <c r="U41" s="798"/>
      <c r="V41" s="798"/>
      <c r="W41" s="798"/>
      <c r="X41" s="798"/>
      <c r="Y41" s="798"/>
      <c r="Z41" s="798"/>
      <c r="AA41" s="798"/>
      <c r="AB41" s="798"/>
      <c r="AC41" s="799"/>
      <c r="AD41" s="797"/>
      <c r="AE41" s="798"/>
      <c r="AF41" s="798"/>
      <c r="AG41" s="798"/>
      <c r="AH41" s="798"/>
      <c r="AI41" s="798"/>
      <c r="AJ41" s="798"/>
      <c r="AK41" s="798"/>
      <c r="AL41" s="798"/>
      <c r="AM41" s="798"/>
      <c r="AN41" s="798"/>
      <c r="AO41" s="799"/>
    </row>
    <row r="42" spans="2:41" ht="28.95" hidden="1" customHeight="1" x14ac:dyDescent="0.3">
      <c r="B42" s="1068"/>
      <c r="C42" s="759" t="s">
        <v>540</v>
      </c>
      <c r="D42" s="763" t="s">
        <v>1405</v>
      </c>
      <c r="E42" s="764">
        <v>45839</v>
      </c>
      <c r="F42" s="765">
        <v>46752</v>
      </c>
      <c r="G42" s="748">
        <v>913</v>
      </c>
      <c r="H42" s="40" t="s">
        <v>538</v>
      </c>
      <c r="I42" s="40" t="s">
        <v>542</v>
      </c>
      <c r="J42" s="798">
        <v>0</v>
      </c>
      <c r="K42" s="867">
        <v>0</v>
      </c>
      <c r="L42" s="84">
        <v>0</v>
      </c>
      <c r="M42" s="65">
        <v>0</v>
      </c>
      <c r="N42" s="65">
        <v>0</v>
      </c>
      <c r="O42" s="65">
        <v>0</v>
      </c>
      <c r="P42" s="65">
        <v>0</v>
      </c>
      <c r="Q42" s="33">
        <v>0</v>
      </c>
      <c r="R42" s="797"/>
      <c r="S42" s="798"/>
      <c r="T42" s="798"/>
      <c r="U42" s="798"/>
      <c r="V42" s="798"/>
      <c r="W42" s="798"/>
      <c r="X42" s="798"/>
      <c r="Y42" s="798"/>
      <c r="Z42" s="798"/>
      <c r="AA42" s="798"/>
      <c r="AB42" s="798"/>
      <c r="AC42" s="799"/>
      <c r="AD42" s="797"/>
      <c r="AE42" s="798"/>
      <c r="AF42" s="798"/>
      <c r="AG42" s="798"/>
      <c r="AH42" s="798"/>
      <c r="AI42" s="798"/>
      <c r="AJ42" s="798"/>
      <c r="AK42" s="798"/>
      <c r="AL42" s="798"/>
      <c r="AM42" s="798"/>
      <c r="AN42" s="798"/>
      <c r="AO42" s="799"/>
    </row>
    <row r="43" spans="2:41" ht="14.4" hidden="1" customHeight="1" x14ac:dyDescent="0.3">
      <c r="B43" s="1068"/>
      <c r="C43" s="759" t="s">
        <v>542</v>
      </c>
      <c r="D43" s="763" t="s">
        <v>1406</v>
      </c>
      <c r="E43" s="764">
        <v>45839</v>
      </c>
      <c r="F43" s="765">
        <v>46752</v>
      </c>
      <c r="G43" s="748">
        <v>913</v>
      </c>
      <c r="H43" s="40" t="s">
        <v>540</v>
      </c>
      <c r="I43" s="40" t="s">
        <v>491</v>
      </c>
      <c r="J43" s="798">
        <v>0</v>
      </c>
      <c r="K43" s="867">
        <v>0</v>
      </c>
      <c r="L43" s="84">
        <v>0</v>
      </c>
      <c r="M43" s="65">
        <v>0</v>
      </c>
      <c r="N43" s="65">
        <v>0</v>
      </c>
      <c r="O43" s="65">
        <v>0</v>
      </c>
      <c r="P43" s="65">
        <v>0</v>
      </c>
      <c r="Q43" s="33">
        <v>0</v>
      </c>
      <c r="R43" s="797"/>
      <c r="S43" s="798"/>
      <c r="T43" s="798"/>
      <c r="U43" s="798"/>
      <c r="V43" s="798"/>
      <c r="W43" s="798"/>
      <c r="X43" s="798"/>
      <c r="Y43" s="798"/>
      <c r="Z43" s="798"/>
      <c r="AA43" s="798"/>
      <c r="AB43" s="798"/>
      <c r="AC43" s="799"/>
      <c r="AD43" s="797"/>
      <c r="AE43" s="798"/>
      <c r="AF43" s="798"/>
      <c r="AG43" s="798"/>
      <c r="AH43" s="798"/>
      <c r="AI43" s="798"/>
      <c r="AJ43" s="798"/>
      <c r="AK43" s="798"/>
      <c r="AL43" s="798"/>
      <c r="AM43" s="798"/>
      <c r="AN43" s="798"/>
      <c r="AO43" s="799"/>
    </row>
    <row r="44" spans="2:41" x14ac:dyDescent="0.3">
      <c r="B44" s="1068"/>
      <c r="C44" s="759" t="s">
        <v>544</v>
      </c>
      <c r="D44" s="763" t="s">
        <v>1464</v>
      </c>
      <c r="E44" s="761">
        <v>45839</v>
      </c>
      <c r="F44" s="762">
        <v>46387</v>
      </c>
      <c r="G44" s="708">
        <v>548</v>
      </c>
      <c r="H44" s="39" t="s">
        <v>490</v>
      </c>
      <c r="I44" s="39" t="s">
        <v>491</v>
      </c>
      <c r="J44" s="795">
        <v>0</v>
      </c>
      <c r="K44" s="866">
        <v>0</v>
      </c>
      <c r="L44" s="83">
        <v>0</v>
      </c>
      <c r="M44" s="64">
        <v>0</v>
      </c>
      <c r="N44" s="64">
        <v>0</v>
      </c>
      <c r="O44" s="64">
        <v>0</v>
      </c>
      <c r="P44" s="64">
        <v>0</v>
      </c>
      <c r="Q44" s="32">
        <v>0</v>
      </c>
      <c r="R44" s="794"/>
      <c r="S44" s="795"/>
      <c r="T44" s="795"/>
      <c r="U44" s="795"/>
      <c r="V44" s="795"/>
      <c r="W44" s="746"/>
      <c r="X44" s="746"/>
      <c r="Y44" s="795"/>
      <c r="Z44" s="795"/>
      <c r="AA44" s="795"/>
      <c r="AB44" s="795"/>
      <c r="AC44" s="796"/>
      <c r="AD44" s="794"/>
      <c r="AE44" s="795"/>
      <c r="AF44" s="795"/>
      <c r="AG44" s="795"/>
      <c r="AH44" s="795"/>
      <c r="AI44" s="746"/>
      <c r="AJ44" s="746"/>
      <c r="AK44" s="795"/>
      <c r="AL44" s="795"/>
      <c r="AM44" s="795"/>
      <c r="AN44" s="795"/>
      <c r="AO44" s="796"/>
    </row>
    <row r="45" spans="2:41" ht="86.4" hidden="1" customHeight="1" x14ac:dyDescent="0.3">
      <c r="B45" s="1068"/>
      <c r="C45" s="759" t="s">
        <v>546</v>
      </c>
      <c r="D45" s="763" t="s">
        <v>1407</v>
      </c>
      <c r="E45" s="764">
        <v>45658</v>
      </c>
      <c r="F45" s="765">
        <v>46752</v>
      </c>
      <c r="G45" s="748">
        <v>1094</v>
      </c>
      <c r="H45" s="40" t="s">
        <v>490</v>
      </c>
      <c r="I45" s="40" t="s">
        <v>491</v>
      </c>
      <c r="J45" s="798">
        <v>0</v>
      </c>
      <c r="K45" s="867">
        <v>0</v>
      </c>
      <c r="L45" s="84">
        <v>0</v>
      </c>
      <c r="M45" s="65">
        <v>0</v>
      </c>
      <c r="N45" s="65">
        <v>0</v>
      </c>
      <c r="O45" s="65">
        <v>0</v>
      </c>
      <c r="P45" s="65">
        <v>0</v>
      </c>
      <c r="Q45" s="33">
        <v>0</v>
      </c>
      <c r="R45" s="797"/>
      <c r="S45" s="798"/>
      <c r="T45" s="798"/>
      <c r="U45" s="798"/>
      <c r="V45" s="798"/>
      <c r="W45" s="798"/>
      <c r="X45" s="798"/>
      <c r="Y45" s="798"/>
      <c r="Z45" s="798"/>
      <c r="AA45" s="798"/>
      <c r="AB45" s="798"/>
      <c r="AC45" s="799"/>
      <c r="AD45" s="797"/>
      <c r="AE45" s="798"/>
      <c r="AF45" s="798"/>
      <c r="AG45" s="798"/>
      <c r="AH45" s="798"/>
      <c r="AI45" s="798"/>
      <c r="AJ45" s="798"/>
      <c r="AK45" s="798"/>
      <c r="AL45" s="798"/>
      <c r="AM45" s="798"/>
      <c r="AN45" s="798"/>
      <c r="AO45" s="799"/>
    </row>
    <row r="46" spans="2:41" x14ac:dyDescent="0.3">
      <c r="B46" s="1068"/>
      <c r="C46" s="759" t="s">
        <v>548</v>
      </c>
      <c r="D46" s="763" t="s">
        <v>1465</v>
      </c>
      <c r="E46" s="761">
        <v>45658</v>
      </c>
      <c r="F46" s="762">
        <v>46752</v>
      </c>
      <c r="G46" s="708">
        <v>1094</v>
      </c>
      <c r="H46" s="39" t="s">
        <v>534</v>
      </c>
      <c r="I46" s="39" t="s">
        <v>491</v>
      </c>
      <c r="J46" s="795">
        <v>15065000</v>
      </c>
      <c r="K46" s="866">
        <v>230000</v>
      </c>
      <c r="L46" s="83">
        <v>0</v>
      </c>
      <c r="M46" s="64">
        <v>0</v>
      </c>
      <c r="N46" s="64">
        <v>0</v>
      </c>
      <c r="O46" s="64">
        <v>0</v>
      </c>
      <c r="P46" s="64">
        <v>0</v>
      </c>
      <c r="Q46" s="32">
        <v>16666.666666666668</v>
      </c>
      <c r="R46" s="745"/>
      <c r="S46" s="746"/>
      <c r="T46" s="746"/>
      <c r="U46" s="746"/>
      <c r="V46" s="746"/>
      <c r="W46" s="746"/>
      <c r="X46" s="795"/>
      <c r="Y46" s="795"/>
      <c r="Z46" s="795"/>
      <c r="AA46" s="795"/>
      <c r="AB46" s="746"/>
      <c r="AC46" s="812"/>
      <c r="AD46" s="745"/>
      <c r="AE46" s="746"/>
      <c r="AF46" s="746"/>
      <c r="AG46" s="746"/>
      <c r="AH46" s="746"/>
      <c r="AI46" s="795"/>
      <c r="AJ46" s="795"/>
      <c r="AK46" s="795"/>
      <c r="AL46" s="795"/>
      <c r="AM46" s="795"/>
      <c r="AN46" s="795"/>
      <c r="AO46" s="796"/>
    </row>
    <row r="47" spans="2:41" ht="86.4" hidden="1" customHeight="1" x14ac:dyDescent="0.3">
      <c r="B47" s="1068"/>
      <c r="C47" s="759" t="s">
        <v>549</v>
      </c>
      <c r="D47" s="763" t="s">
        <v>1407</v>
      </c>
      <c r="E47" s="764">
        <v>45658</v>
      </c>
      <c r="F47" s="765">
        <v>46752</v>
      </c>
      <c r="G47" s="748">
        <v>1094</v>
      </c>
      <c r="H47" s="40" t="s">
        <v>542</v>
      </c>
      <c r="I47" s="40" t="s">
        <v>491</v>
      </c>
      <c r="J47" s="798">
        <v>0</v>
      </c>
      <c r="K47" s="867">
        <v>0</v>
      </c>
      <c r="L47" s="84">
        <v>0</v>
      </c>
      <c r="M47" s="65">
        <v>0</v>
      </c>
      <c r="N47" s="65">
        <v>0</v>
      </c>
      <c r="O47" s="65">
        <v>0</v>
      </c>
      <c r="P47" s="65">
        <v>0</v>
      </c>
      <c r="Q47" s="33">
        <v>0</v>
      </c>
      <c r="R47" s="797"/>
      <c r="S47" s="798"/>
      <c r="T47" s="798"/>
      <c r="U47" s="798"/>
      <c r="V47" s="798"/>
      <c r="W47" s="798"/>
      <c r="X47" s="798"/>
      <c r="Y47" s="798"/>
      <c r="Z47" s="798"/>
      <c r="AA47" s="798"/>
      <c r="AB47" s="798"/>
      <c r="AC47" s="799"/>
      <c r="AD47" s="797"/>
      <c r="AE47" s="798"/>
      <c r="AF47" s="798"/>
      <c r="AG47" s="798"/>
      <c r="AH47" s="798"/>
      <c r="AI47" s="798"/>
      <c r="AJ47" s="798"/>
      <c r="AK47" s="798"/>
      <c r="AL47" s="798"/>
      <c r="AM47" s="798"/>
      <c r="AN47" s="798"/>
      <c r="AO47" s="799"/>
    </row>
    <row r="48" spans="2:41" ht="28.8" x14ac:dyDescent="0.3">
      <c r="B48" s="1068"/>
      <c r="C48" s="759" t="s">
        <v>33</v>
      </c>
      <c r="D48" s="763" t="s">
        <v>1458</v>
      </c>
      <c r="E48" s="761">
        <v>45663</v>
      </c>
      <c r="F48" s="762">
        <v>46234</v>
      </c>
      <c r="G48" s="708">
        <v>571</v>
      </c>
      <c r="H48" s="39" t="s">
        <v>490</v>
      </c>
      <c r="I48" s="39" t="s">
        <v>491</v>
      </c>
      <c r="J48" s="795">
        <v>147183333.11500001</v>
      </c>
      <c r="K48" s="866">
        <v>2247073.7880152673</v>
      </c>
      <c r="L48" s="83">
        <v>0</v>
      </c>
      <c r="M48" s="64">
        <v>0</v>
      </c>
      <c r="N48" s="64">
        <v>13740.46</v>
      </c>
      <c r="O48" s="64">
        <v>0</v>
      </c>
      <c r="P48" s="64">
        <v>0</v>
      </c>
      <c r="Q48" s="32">
        <v>1200000</v>
      </c>
      <c r="R48" s="745"/>
      <c r="S48" s="746"/>
      <c r="T48" s="746"/>
      <c r="U48" s="746"/>
      <c r="V48" s="746"/>
      <c r="W48" s="746"/>
      <c r="X48" s="746"/>
      <c r="Y48" s="795"/>
      <c r="Z48" s="795"/>
      <c r="AA48" s="795"/>
      <c r="AB48" s="795"/>
      <c r="AC48" s="796"/>
      <c r="AD48" s="794"/>
      <c r="AE48" s="795"/>
      <c r="AF48" s="795"/>
      <c r="AG48" s="795"/>
      <c r="AH48" s="795"/>
      <c r="AI48" s="795"/>
      <c r="AJ48" s="795"/>
      <c r="AK48" s="795"/>
      <c r="AL48" s="795"/>
      <c r="AM48" s="795"/>
      <c r="AN48" s="795"/>
      <c r="AO48" s="796"/>
    </row>
    <row r="49" spans="2:41" ht="57.6" hidden="1" customHeight="1" x14ac:dyDescent="0.3">
      <c r="B49" s="1068"/>
      <c r="C49" s="759" t="s">
        <v>550</v>
      </c>
      <c r="D49" s="405" t="s">
        <v>1408</v>
      </c>
      <c r="E49" s="764">
        <v>45663</v>
      </c>
      <c r="F49" s="765" t="s">
        <v>570</v>
      </c>
      <c r="G49" s="748">
        <v>390</v>
      </c>
      <c r="H49" s="40" t="s">
        <v>490</v>
      </c>
      <c r="I49" s="40" t="s">
        <v>571</v>
      </c>
      <c r="J49" s="798">
        <v>900000</v>
      </c>
      <c r="K49" s="867">
        <v>13740.458015267175</v>
      </c>
      <c r="L49" s="84">
        <v>0</v>
      </c>
      <c r="M49" s="65">
        <v>0</v>
      </c>
      <c r="N49" s="65">
        <v>13740.46</v>
      </c>
      <c r="O49" s="65">
        <v>0</v>
      </c>
      <c r="P49" s="65">
        <v>0</v>
      </c>
      <c r="Q49" s="33">
        <v>0</v>
      </c>
      <c r="R49" s="797"/>
      <c r="S49" s="798"/>
      <c r="T49" s="798"/>
      <c r="U49" s="798"/>
      <c r="V49" s="798"/>
      <c r="W49" s="798"/>
      <c r="X49" s="798"/>
      <c r="Y49" s="798"/>
      <c r="Z49" s="798"/>
      <c r="AA49" s="798"/>
      <c r="AB49" s="798"/>
      <c r="AC49" s="799"/>
      <c r="AD49" s="797"/>
      <c r="AE49" s="798"/>
      <c r="AF49" s="798"/>
      <c r="AG49" s="798"/>
      <c r="AH49" s="798"/>
      <c r="AI49" s="798"/>
      <c r="AJ49" s="798"/>
      <c r="AK49" s="798"/>
      <c r="AL49" s="798"/>
      <c r="AM49" s="798"/>
      <c r="AN49" s="798"/>
      <c r="AO49" s="799"/>
    </row>
    <row r="50" spans="2:41" s="47" customFormat="1" ht="14.4" hidden="1" customHeight="1" x14ac:dyDescent="0.3">
      <c r="B50" s="1068"/>
      <c r="C50" s="767" t="s">
        <v>552</v>
      </c>
      <c r="D50" s="768" t="s">
        <v>1409</v>
      </c>
      <c r="E50" s="769">
        <v>45663</v>
      </c>
      <c r="F50" s="770" t="s">
        <v>554</v>
      </c>
      <c r="G50" s="139">
        <v>267</v>
      </c>
      <c r="H50" s="44" t="s">
        <v>490</v>
      </c>
      <c r="I50" s="44" t="s">
        <v>555</v>
      </c>
      <c r="J50" s="801">
        <v>900000</v>
      </c>
      <c r="K50" s="868">
        <v>13740.458015267175</v>
      </c>
      <c r="L50" s="85"/>
      <c r="M50" s="66"/>
      <c r="N50" s="66">
        <v>13740.46</v>
      </c>
      <c r="O50" s="66"/>
      <c r="P50" s="66"/>
      <c r="Q50" s="45"/>
      <c r="R50" s="800"/>
      <c r="S50" s="801"/>
      <c r="T50" s="801"/>
      <c r="U50" s="801"/>
      <c r="V50" s="801"/>
      <c r="W50" s="801"/>
      <c r="X50" s="801"/>
      <c r="Y50" s="801"/>
      <c r="Z50" s="801"/>
      <c r="AA50" s="801"/>
      <c r="AB50" s="801"/>
      <c r="AC50" s="802"/>
      <c r="AD50" s="800"/>
      <c r="AE50" s="801"/>
      <c r="AF50" s="801"/>
      <c r="AG50" s="801"/>
      <c r="AH50" s="801"/>
      <c r="AI50" s="801"/>
      <c r="AJ50" s="801"/>
      <c r="AK50" s="801"/>
      <c r="AL50" s="801"/>
      <c r="AM50" s="801"/>
      <c r="AN50" s="801"/>
      <c r="AO50" s="802"/>
    </row>
    <row r="51" spans="2:41" s="47" customFormat="1" ht="14.4" hidden="1" customHeight="1" x14ac:dyDescent="0.3">
      <c r="B51" s="1068"/>
      <c r="C51" s="767" t="s">
        <v>555</v>
      </c>
      <c r="D51" s="768" t="s">
        <v>1410</v>
      </c>
      <c r="E51" s="769">
        <v>45667</v>
      </c>
      <c r="F51" s="770" t="s">
        <v>557</v>
      </c>
      <c r="G51" s="139">
        <v>294</v>
      </c>
      <c r="H51" s="44" t="s">
        <v>558</v>
      </c>
      <c r="I51" s="44" t="s">
        <v>559</v>
      </c>
      <c r="J51" s="801">
        <v>0</v>
      </c>
      <c r="K51" s="868">
        <v>0</v>
      </c>
      <c r="L51" s="85"/>
      <c r="M51" s="66"/>
      <c r="N51" s="66"/>
      <c r="O51" s="66"/>
      <c r="P51" s="66"/>
      <c r="Q51" s="45"/>
      <c r="R51" s="800"/>
      <c r="S51" s="801"/>
      <c r="T51" s="801"/>
      <c r="U51" s="801"/>
      <c r="V51" s="801"/>
      <c r="W51" s="801"/>
      <c r="X51" s="801"/>
      <c r="Y51" s="801"/>
      <c r="Z51" s="801"/>
      <c r="AA51" s="801"/>
      <c r="AB51" s="801"/>
      <c r="AC51" s="802"/>
      <c r="AD51" s="800"/>
      <c r="AE51" s="801"/>
      <c r="AF51" s="801"/>
      <c r="AG51" s="801"/>
      <c r="AH51" s="801"/>
      <c r="AI51" s="801"/>
      <c r="AJ51" s="801"/>
      <c r="AK51" s="801"/>
      <c r="AL51" s="801"/>
      <c r="AM51" s="801"/>
      <c r="AN51" s="801"/>
      <c r="AO51" s="802"/>
    </row>
    <row r="52" spans="2:41" s="47" customFormat="1" ht="14.4" hidden="1" customHeight="1" x14ac:dyDescent="0.3">
      <c r="B52" s="1068"/>
      <c r="C52" s="767" t="s">
        <v>559</v>
      </c>
      <c r="D52" s="768" t="s">
        <v>560</v>
      </c>
      <c r="E52" s="769">
        <v>45668</v>
      </c>
      <c r="F52" s="770" t="s">
        <v>561</v>
      </c>
      <c r="G52" s="139">
        <v>308</v>
      </c>
      <c r="H52" s="44" t="s">
        <v>555</v>
      </c>
      <c r="I52" s="44" t="s">
        <v>562</v>
      </c>
      <c r="J52" s="801">
        <v>0</v>
      </c>
      <c r="K52" s="868">
        <v>0</v>
      </c>
      <c r="L52" s="85"/>
      <c r="M52" s="66"/>
      <c r="N52" s="66"/>
      <c r="O52" s="66"/>
      <c r="P52" s="66"/>
      <c r="Q52" s="45"/>
      <c r="R52" s="800"/>
      <c r="S52" s="801"/>
      <c r="T52" s="801"/>
      <c r="U52" s="801"/>
      <c r="V52" s="801"/>
      <c r="W52" s="801"/>
      <c r="X52" s="801"/>
      <c r="Y52" s="801"/>
      <c r="Z52" s="801"/>
      <c r="AA52" s="801"/>
      <c r="AB52" s="801"/>
      <c r="AC52" s="802"/>
      <c r="AD52" s="800"/>
      <c r="AE52" s="801"/>
      <c r="AF52" s="801"/>
      <c r="AG52" s="801"/>
      <c r="AH52" s="801"/>
      <c r="AI52" s="801"/>
      <c r="AJ52" s="801"/>
      <c r="AK52" s="801"/>
      <c r="AL52" s="801"/>
      <c r="AM52" s="801"/>
      <c r="AN52" s="801"/>
      <c r="AO52" s="802"/>
    </row>
    <row r="53" spans="2:41" s="47" customFormat="1" ht="14.4" hidden="1" customHeight="1" x14ac:dyDescent="0.3">
      <c r="B53" s="1068"/>
      <c r="C53" s="767" t="s">
        <v>562</v>
      </c>
      <c r="D53" s="768" t="s">
        <v>1411</v>
      </c>
      <c r="E53" s="769" t="s">
        <v>561</v>
      </c>
      <c r="F53" s="770" t="s">
        <v>564</v>
      </c>
      <c r="G53" s="139">
        <v>15</v>
      </c>
      <c r="H53" s="44" t="s">
        <v>559</v>
      </c>
      <c r="I53" s="44" t="s">
        <v>565</v>
      </c>
      <c r="J53" s="801">
        <v>0</v>
      </c>
      <c r="K53" s="868">
        <v>0</v>
      </c>
      <c r="L53" s="85"/>
      <c r="M53" s="66"/>
      <c r="N53" s="66"/>
      <c r="O53" s="66"/>
      <c r="P53" s="66"/>
      <c r="Q53" s="45"/>
      <c r="R53" s="800"/>
      <c r="S53" s="801"/>
      <c r="T53" s="801"/>
      <c r="U53" s="801"/>
      <c r="V53" s="801"/>
      <c r="W53" s="801"/>
      <c r="X53" s="801"/>
      <c r="Y53" s="801"/>
      <c r="Z53" s="801"/>
      <c r="AA53" s="801"/>
      <c r="AB53" s="801"/>
      <c r="AC53" s="802"/>
      <c r="AD53" s="800"/>
      <c r="AE53" s="801"/>
      <c r="AF53" s="801"/>
      <c r="AG53" s="801"/>
      <c r="AH53" s="801"/>
      <c r="AI53" s="801"/>
      <c r="AJ53" s="801"/>
      <c r="AK53" s="801"/>
      <c r="AL53" s="801"/>
      <c r="AM53" s="801"/>
      <c r="AN53" s="801"/>
      <c r="AO53" s="802"/>
    </row>
    <row r="54" spans="2:41" s="47" customFormat="1" ht="14.4" hidden="1" customHeight="1" x14ac:dyDescent="0.3">
      <c r="B54" s="1068"/>
      <c r="C54" s="767" t="s">
        <v>565</v>
      </c>
      <c r="D54" s="768" t="s">
        <v>566</v>
      </c>
      <c r="E54" s="769">
        <v>45669</v>
      </c>
      <c r="F54" s="770" t="s">
        <v>567</v>
      </c>
      <c r="G54" s="139">
        <v>353</v>
      </c>
      <c r="H54" s="44" t="s">
        <v>562</v>
      </c>
      <c r="I54" s="44" t="s">
        <v>568</v>
      </c>
      <c r="J54" s="801">
        <v>0</v>
      </c>
      <c r="K54" s="868">
        <v>0</v>
      </c>
      <c r="L54" s="85"/>
      <c r="M54" s="66"/>
      <c r="N54" s="66"/>
      <c r="O54" s="66"/>
      <c r="P54" s="66"/>
      <c r="Q54" s="45"/>
      <c r="R54" s="800"/>
      <c r="S54" s="801"/>
      <c r="T54" s="801"/>
      <c r="U54" s="801"/>
      <c r="V54" s="801"/>
      <c r="W54" s="801"/>
      <c r="X54" s="801"/>
      <c r="Y54" s="801"/>
      <c r="Z54" s="801"/>
      <c r="AA54" s="801"/>
      <c r="AB54" s="801"/>
      <c r="AC54" s="802"/>
      <c r="AD54" s="800"/>
      <c r="AE54" s="801"/>
      <c r="AF54" s="801"/>
      <c r="AG54" s="801"/>
      <c r="AH54" s="801"/>
      <c r="AI54" s="801"/>
      <c r="AJ54" s="801"/>
      <c r="AK54" s="801"/>
      <c r="AL54" s="801"/>
      <c r="AM54" s="801"/>
      <c r="AN54" s="801"/>
      <c r="AO54" s="802"/>
    </row>
    <row r="55" spans="2:41" s="47" customFormat="1" ht="14.4" hidden="1" customHeight="1" x14ac:dyDescent="0.3">
      <c r="B55" s="1068"/>
      <c r="C55" s="767" t="s">
        <v>568</v>
      </c>
      <c r="D55" s="768" t="s">
        <v>569</v>
      </c>
      <c r="E55" s="769">
        <v>46023</v>
      </c>
      <c r="F55" s="770" t="s">
        <v>570</v>
      </c>
      <c r="G55" s="139">
        <v>30</v>
      </c>
      <c r="H55" s="44" t="s">
        <v>565</v>
      </c>
      <c r="I55" s="44" t="s">
        <v>571</v>
      </c>
      <c r="J55" s="801">
        <v>0</v>
      </c>
      <c r="K55" s="868">
        <v>0</v>
      </c>
      <c r="L55" s="85"/>
      <c r="M55" s="66"/>
      <c r="N55" s="66"/>
      <c r="O55" s="66"/>
      <c r="P55" s="66"/>
      <c r="Q55" s="45"/>
      <c r="R55" s="800"/>
      <c r="S55" s="801"/>
      <c r="T55" s="801"/>
      <c r="U55" s="801"/>
      <c r="V55" s="801"/>
      <c r="W55" s="801"/>
      <c r="X55" s="801"/>
      <c r="Y55" s="801"/>
      <c r="Z55" s="801"/>
      <c r="AA55" s="801"/>
      <c r="AB55" s="801"/>
      <c r="AC55" s="802"/>
      <c r="AD55" s="800"/>
      <c r="AE55" s="801"/>
      <c r="AF55" s="801"/>
      <c r="AG55" s="801"/>
      <c r="AH55" s="801"/>
      <c r="AI55" s="801"/>
      <c r="AJ55" s="801"/>
      <c r="AK55" s="801"/>
      <c r="AL55" s="801"/>
      <c r="AM55" s="801"/>
      <c r="AN55" s="801"/>
      <c r="AO55" s="802"/>
    </row>
    <row r="56" spans="2:41" ht="29.4" hidden="1" customHeight="1" x14ac:dyDescent="0.3">
      <c r="B56" s="1068"/>
      <c r="C56" s="759" t="s">
        <v>572</v>
      </c>
      <c r="D56" s="405" t="s">
        <v>1412</v>
      </c>
      <c r="E56" s="764">
        <v>46023</v>
      </c>
      <c r="F56" s="765" t="s">
        <v>584</v>
      </c>
      <c r="G56" s="748">
        <v>89</v>
      </c>
      <c r="H56" s="40" t="s">
        <v>550</v>
      </c>
      <c r="I56" s="40" t="s">
        <v>491</v>
      </c>
      <c r="J56" s="798">
        <v>0</v>
      </c>
      <c r="K56" s="867">
        <v>0</v>
      </c>
      <c r="L56" s="84">
        <v>0</v>
      </c>
      <c r="M56" s="65">
        <v>0</v>
      </c>
      <c r="N56" s="65">
        <v>0</v>
      </c>
      <c r="O56" s="65">
        <v>0</v>
      </c>
      <c r="P56" s="65">
        <v>0</v>
      </c>
      <c r="Q56" s="33">
        <v>0</v>
      </c>
      <c r="R56" s="797"/>
      <c r="S56" s="798"/>
      <c r="T56" s="798"/>
      <c r="U56" s="798"/>
      <c r="V56" s="798"/>
      <c r="W56" s="798"/>
      <c r="X56" s="798"/>
      <c r="Y56" s="798"/>
      <c r="Z56" s="798"/>
      <c r="AA56" s="798"/>
      <c r="AB56" s="798"/>
      <c r="AC56" s="799"/>
      <c r="AD56" s="797"/>
      <c r="AE56" s="798"/>
      <c r="AF56" s="798"/>
      <c r="AG56" s="798"/>
      <c r="AH56" s="798"/>
      <c r="AI56" s="798"/>
      <c r="AJ56" s="798"/>
      <c r="AK56" s="798"/>
      <c r="AL56" s="798"/>
      <c r="AM56" s="798"/>
      <c r="AN56" s="798"/>
      <c r="AO56" s="799"/>
    </row>
    <row r="57" spans="2:41" s="47" customFormat="1" ht="14.4" hidden="1" customHeight="1" x14ac:dyDescent="0.3">
      <c r="B57" s="1068"/>
      <c r="C57" s="767" t="s">
        <v>571</v>
      </c>
      <c r="D57" s="768" t="s">
        <v>574</v>
      </c>
      <c r="E57" s="769">
        <v>46023</v>
      </c>
      <c r="F57" s="770" t="s">
        <v>570</v>
      </c>
      <c r="G57" s="139">
        <v>30</v>
      </c>
      <c r="H57" s="44" t="s">
        <v>568</v>
      </c>
      <c r="I57" s="44" t="s">
        <v>575</v>
      </c>
      <c r="J57" s="801">
        <v>0</v>
      </c>
      <c r="K57" s="868">
        <v>0</v>
      </c>
      <c r="L57" s="85"/>
      <c r="M57" s="66"/>
      <c r="N57" s="66"/>
      <c r="O57" s="66"/>
      <c r="P57" s="66"/>
      <c r="Q57" s="45"/>
      <c r="R57" s="800"/>
      <c r="S57" s="801"/>
      <c r="T57" s="801"/>
      <c r="U57" s="801"/>
      <c r="V57" s="801"/>
      <c r="W57" s="801"/>
      <c r="X57" s="801"/>
      <c r="Y57" s="801"/>
      <c r="Z57" s="801"/>
      <c r="AA57" s="801"/>
      <c r="AB57" s="801"/>
      <c r="AC57" s="802"/>
      <c r="AD57" s="800"/>
      <c r="AE57" s="801"/>
      <c r="AF57" s="801"/>
      <c r="AG57" s="801"/>
      <c r="AH57" s="801"/>
      <c r="AI57" s="801"/>
      <c r="AJ57" s="801"/>
      <c r="AK57" s="801"/>
      <c r="AL57" s="801"/>
      <c r="AM57" s="801"/>
      <c r="AN57" s="801"/>
      <c r="AO57" s="802"/>
    </row>
    <row r="58" spans="2:41" s="47" customFormat="1" ht="14.4" hidden="1" customHeight="1" x14ac:dyDescent="0.3">
      <c r="B58" s="1068"/>
      <c r="C58" s="767" t="s">
        <v>575</v>
      </c>
      <c r="D58" s="768" t="s">
        <v>576</v>
      </c>
      <c r="E58" s="769">
        <v>46023</v>
      </c>
      <c r="F58" s="770" t="s">
        <v>570</v>
      </c>
      <c r="G58" s="139">
        <v>30</v>
      </c>
      <c r="H58" s="44" t="s">
        <v>571</v>
      </c>
      <c r="I58" s="44" t="s">
        <v>577</v>
      </c>
      <c r="J58" s="801">
        <v>0</v>
      </c>
      <c r="K58" s="868">
        <v>0</v>
      </c>
      <c r="L58" s="85"/>
      <c r="M58" s="66"/>
      <c r="N58" s="66"/>
      <c r="O58" s="66"/>
      <c r="P58" s="66"/>
      <c r="Q58" s="45"/>
      <c r="R58" s="800"/>
      <c r="S58" s="801"/>
      <c r="T58" s="801"/>
      <c r="U58" s="801"/>
      <c r="V58" s="801"/>
      <c r="W58" s="801"/>
      <c r="X58" s="801"/>
      <c r="Y58" s="801"/>
      <c r="Z58" s="801"/>
      <c r="AA58" s="801"/>
      <c r="AB58" s="801"/>
      <c r="AC58" s="802"/>
      <c r="AD58" s="800"/>
      <c r="AE58" s="801"/>
      <c r="AF58" s="801"/>
      <c r="AG58" s="801"/>
      <c r="AH58" s="801"/>
      <c r="AI58" s="801"/>
      <c r="AJ58" s="801"/>
      <c r="AK58" s="801"/>
      <c r="AL58" s="801"/>
      <c r="AM58" s="801"/>
      <c r="AN58" s="801"/>
      <c r="AO58" s="802"/>
    </row>
    <row r="59" spans="2:41" s="47" customFormat="1" ht="14.4" hidden="1" customHeight="1" x14ac:dyDescent="0.3">
      <c r="B59" s="1068"/>
      <c r="C59" s="767" t="s">
        <v>577</v>
      </c>
      <c r="D59" s="768" t="s">
        <v>578</v>
      </c>
      <c r="E59" s="769">
        <v>46023</v>
      </c>
      <c r="F59" s="770" t="s">
        <v>570</v>
      </c>
      <c r="G59" s="139">
        <v>30</v>
      </c>
      <c r="H59" s="44" t="s">
        <v>575</v>
      </c>
      <c r="I59" s="44" t="s">
        <v>579</v>
      </c>
      <c r="J59" s="801">
        <v>0</v>
      </c>
      <c r="K59" s="868">
        <v>0</v>
      </c>
      <c r="L59" s="85"/>
      <c r="M59" s="66"/>
      <c r="N59" s="66"/>
      <c r="O59" s="66"/>
      <c r="P59" s="66"/>
      <c r="Q59" s="45"/>
      <c r="R59" s="800"/>
      <c r="S59" s="801"/>
      <c r="T59" s="801"/>
      <c r="U59" s="801"/>
      <c r="V59" s="801"/>
      <c r="W59" s="801"/>
      <c r="X59" s="801"/>
      <c r="Y59" s="801"/>
      <c r="Z59" s="801"/>
      <c r="AA59" s="801"/>
      <c r="AB59" s="801"/>
      <c r="AC59" s="802"/>
      <c r="AD59" s="800"/>
      <c r="AE59" s="801"/>
      <c r="AF59" s="801"/>
      <c r="AG59" s="801"/>
      <c r="AH59" s="801"/>
      <c r="AI59" s="801"/>
      <c r="AJ59" s="801"/>
      <c r="AK59" s="801"/>
      <c r="AL59" s="801"/>
      <c r="AM59" s="801"/>
      <c r="AN59" s="801"/>
      <c r="AO59" s="802"/>
    </row>
    <row r="60" spans="2:41" s="47" customFormat="1" ht="14.4" hidden="1" customHeight="1" x14ac:dyDescent="0.3">
      <c r="B60" s="1068"/>
      <c r="C60" s="767" t="s">
        <v>579</v>
      </c>
      <c r="D60" s="768" t="s">
        <v>580</v>
      </c>
      <c r="E60" s="769">
        <v>46024</v>
      </c>
      <c r="F60" s="770" t="s">
        <v>581</v>
      </c>
      <c r="G60" s="139">
        <v>57</v>
      </c>
      <c r="H60" s="44" t="s">
        <v>577</v>
      </c>
      <c r="I60" s="44" t="s">
        <v>582</v>
      </c>
      <c r="J60" s="801">
        <v>0</v>
      </c>
      <c r="K60" s="868">
        <v>0</v>
      </c>
      <c r="L60" s="85"/>
      <c r="M60" s="66"/>
      <c r="N60" s="66"/>
      <c r="O60" s="66"/>
      <c r="P60" s="66"/>
      <c r="Q60" s="45"/>
      <c r="R60" s="800"/>
      <c r="S60" s="801"/>
      <c r="T60" s="801"/>
      <c r="U60" s="801"/>
      <c r="V60" s="801"/>
      <c r="W60" s="801"/>
      <c r="X60" s="801"/>
      <c r="Y60" s="801"/>
      <c r="Z60" s="801"/>
      <c r="AA60" s="801"/>
      <c r="AB60" s="801"/>
      <c r="AC60" s="802"/>
      <c r="AD60" s="800"/>
      <c r="AE60" s="801"/>
      <c r="AF60" s="801"/>
      <c r="AG60" s="801"/>
      <c r="AH60" s="801"/>
      <c r="AI60" s="801"/>
      <c r="AJ60" s="801"/>
      <c r="AK60" s="801"/>
      <c r="AL60" s="801"/>
      <c r="AM60" s="801"/>
      <c r="AN60" s="801"/>
      <c r="AO60" s="802"/>
    </row>
    <row r="61" spans="2:41" s="47" customFormat="1" ht="14.4" hidden="1" customHeight="1" x14ac:dyDescent="0.3">
      <c r="B61" s="1068"/>
      <c r="C61" s="767" t="s">
        <v>582</v>
      </c>
      <c r="D61" s="768" t="s">
        <v>583</v>
      </c>
      <c r="E61" s="769" t="s">
        <v>581</v>
      </c>
      <c r="F61" s="770" t="s">
        <v>584</v>
      </c>
      <c r="G61" s="139">
        <v>31</v>
      </c>
      <c r="H61" s="44" t="s">
        <v>579</v>
      </c>
      <c r="I61" s="44" t="s">
        <v>491</v>
      </c>
      <c r="J61" s="801">
        <v>0</v>
      </c>
      <c r="K61" s="868">
        <v>0</v>
      </c>
      <c r="L61" s="85"/>
      <c r="M61" s="66"/>
      <c r="N61" s="66"/>
      <c r="O61" s="66"/>
      <c r="P61" s="66"/>
      <c r="Q61" s="45"/>
      <c r="R61" s="800"/>
      <c r="S61" s="801"/>
      <c r="T61" s="801"/>
      <c r="U61" s="801"/>
      <c r="V61" s="801"/>
      <c r="W61" s="801"/>
      <c r="X61" s="801"/>
      <c r="Y61" s="801"/>
      <c r="Z61" s="801"/>
      <c r="AA61" s="801"/>
      <c r="AB61" s="801"/>
      <c r="AC61" s="802"/>
      <c r="AD61" s="800"/>
      <c r="AE61" s="801"/>
      <c r="AF61" s="801"/>
      <c r="AG61" s="801"/>
      <c r="AH61" s="801"/>
      <c r="AI61" s="801"/>
      <c r="AJ61" s="801"/>
      <c r="AK61" s="801"/>
      <c r="AL61" s="801"/>
      <c r="AM61" s="801"/>
      <c r="AN61" s="801"/>
      <c r="AO61" s="802"/>
    </row>
    <row r="62" spans="2:41" ht="57.6" hidden="1" customHeight="1" x14ac:dyDescent="0.3">
      <c r="B62" s="1068"/>
      <c r="C62" s="759" t="s">
        <v>585</v>
      </c>
      <c r="D62" s="405" t="s">
        <v>1413</v>
      </c>
      <c r="E62" s="764" t="s">
        <v>589</v>
      </c>
      <c r="F62" s="765" t="s">
        <v>590</v>
      </c>
      <c r="G62" s="748">
        <v>290</v>
      </c>
      <c r="H62" s="40" t="s">
        <v>490</v>
      </c>
      <c r="I62" s="40" t="s">
        <v>491</v>
      </c>
      <c r="J62" s="798">
        <v>0</v>
      </c>
      <c r="K62" s="867">
        <v>0</v>
      </c>
      <c r="L62" s="84">
        <v>0</v>
      </c>
      <c r="M62" s="65">
        <v>0</v>
      </c>
      <c r="N62" s="65">
        <v>0</v>
      </c>
      <c r="O62" s="65">
        <v>0</v>
      </c>
      <c r="P62" s="65">
        <v>0</v>
      </c>
      <c r="Q62" s="33">
        <v>0</v>
      </c>
      <c r="R62" s="797"/>
      <c r="S62" s="798"/>
      <c r="T62" s="798"/>
      <c r="U62" s="798"/>
      <c r="V62" s="798"/>
      <c r="W62" s="798"/>
      <c r="X62" s="798"/>
      <c r="Y62" s="798"/>
      <c r="Z62" s="798"/>
      <c r="AA62" s="798"/>
      <c r="AB62" s="798"/>
      <c r="AC62" s="799"/>
      <c r="AD62" s="797"/>
      <c r="AE62" s="798"/>
      <c r="AF62" s="798"/>
      <c r="AG62" s="798"/>
      <c r="AH62" s="798"/>
      <c r="AI62" s="798"/>
      <c r="AJ62" s="798"/>
      <c r="AK62" s="798"/>
      <c r="AL62" s="798"/>
      <c r="AM62" s="798"/>
      <c r="AN62" s="798"/>
      <c r="AO62" s="799"/>
    </row>
    <row r="63" spans="2:41" s="47" customFormat="1" ht="14.4" hidden="1" customHeight="1" x14ac:dyDescent="0.3">
      <c r="B63" s="1068"/>
      <c r="C63" s="767" t="s">
        <v>587</v>
      </c>
      <c r="D63" s="768" t="s">
        <v>588</v>
      </c>
      <c r="E63" s="769" t="s">
        <v>589</v>
      </c>
      <c r="F63" s="770" t="s">
        <v>590</v>
      </c>
      <c r="G63" s="139">
        <v>290</v>
      </c>
      <c r="H63" s="44" t="s">
        <v>490</v>
      </c>
      <c r="I63" s="44" t="s">
        <v>591</v>
      </c>
      <c r="J63" s="801">
        <v>0</v>
      </c>
      <c r="K63" s="868">
        <v>0</v>
      </c>
      <c r="L63" s="85"/>
      <c r="M63" s="66"/>
      <c r="N63" s="66"/>
      <c r="O63" s="66"/>
      <c r="P63" s="66"/>
      <c r="Q63" s="45"/>
      <c r="R63" s="800"/>
      <c r="S63" s="801"/>
      <c r="T63" s="801"/>
      <c r="U63" s="801"/>
      <c r="V63" s="801"/>
      <c r="W63" s="801"/>
      <c r="X63" s="801"/>
      <c r="Y63" s="801"/>
      <c r="Z63" s="801"/>
      <c r="AA63" s="801"/>
      <c r="AB63" s="801"/>
      <c r="AC63" s="802"/>
      <c r="AD63" s="800"/>
      <c r="AE63" s="801"/>
      <c r="AF63" s="801"/>
      <c r="AG63" s="801"/>
      <c r="AH63" s="801"/>
      <c r="AI63" s="801"/>
      <c r="AJ63" s="801"/>
      <c r="AK63" s="801"/>
      <c r="AL63" s="801"/>
      <c r="AM63" s="801"/>
      <c r="AN63" s="801"/>
      <c r="AO63" s="802"/>
    </row>
    <row r="64" spans="2:41" s="47" customFormat="1" ht="14.4" hidden="1" customHeight="1" x14ac:dyDescent="0.3">
      <c r="B64" s="1068"/>
      <c r="C64" s="767" t="s">
        <v>591</v>
      </c>
      <c r="D64" s="768" t="s">
        <v>592</v>
      </c>
      <c r="E64" s="769" t="s">
        <v>589</v>
      </c>
      <c r="F64" s="770" t="s">
        <v>590</v>
      </c>
      <c r="G64" s="139">
        <v>290</v>
      </c>
      <c r="H64" s="44" t="s">
        <v>587</v>
      </c>
      <c r="I64" s="44" t="s">
        <v>593</v>
      </c>
      <c r="J64" s="801">
        <v>0</v>
      </c>
      <c r="K64" s="868">
        <v>0</v>
      </c>
      <c r="L64" s="85"/>
      <c r="M64" s="66"/>
      <c r="N64" s="66"/>
      <c r="O64" s="66"/>
      <c r="P64" s="66"/>
      <c r="Q64" s="45"/>
      <c r="R64" s="800"/>
      <c r="S64" s="801"/>
      <c r="T64" s="801"/>
      <c r="U64" s="801"/>
      <c r="V64" s="801"/>
      <c r="W64" s="801"/>
      <c r="X64" s="801"/>
      <c r="Y64" s="801"/>
      <c r="Z64" s="801"/>
      <c r="AA64" s="801"/>
      <c r="AB64" s="801"/>
      <c r="AC64" s="802"/>
      <c r="AD64" s="800"/>
      <c r="AE64" s="801"/>
      <c r="AF64" s="801"/>
      <c r="AG64" s="801"/>
      <c r="AH64" s="801"/>
      <c r="AI64" s="801"/>
      <c r="AJ64" s="801"/>
      <c r="AK64" s="801"/>
      <c r="AL64" s="801"/>
      <c r="AM64" s="801"/>
      <c r="AN64" s="801"/>
      <c r="AO64" s="802"/>
    </row>
    <row r="65" spans="2:41" s="47" customFormat="1" ht="14.4" hidden="1" customHeight="1" x14ac:dyDescent="0.3">
      <c r="B65" s="1068"/>
      <c r="C65" s="767" t="s">
        <v>593</v>
      </c>
      <c r="D65" s="768" t="s">
        <v>594</v>
      </c>
      <c r="E65" s="769" t="s">
        <v>589</v>
      </c>
      <c r="F65" s="770" t="s">
        <v>590</v>
      </c>
      <c r="G65" s="139">
        <v>290</v>
      </c>
      <c r="H65" s="44" t="s">
        <v>591</v>
      </c>
      <c r="I65" s="44" t="s">
        <v>595</v>
      </c>
      <c r="J65" s="801">
        <v>0</v>
      </c>
      <c r="K65" s="868">
        <v>0</v>
      </c>
      <c r="L65" s="85"/>
      <c r="M65" s="66"/>
      <c r="N65" s="66"/>
      <c r="O65" s="66"/>
      <c r="P65" s="66"/>
      <c r="Q65" s="45"/>
      <c r="R65" s="800"/>
      <c r="S65" s="801"/>
      <c r="T65" s="801"/>
      <c r="U65" s="801"/>
      <c r="V65" s="801"/>
      <c r="W65" s="801"/>
      <c r="X65" s="801"/>
      <c r="Y65" s="801"/>
      <c r="Z65" s="801"/>
      <c r="AA65" s="801"/>
      <c r="AB65" s="801"/>
      <c r="AC65" s="802"/>
      <c r="AD65" s="800"/>
      <c r="AE65" s="801"/>
      <c r="AF65" s="801"/>
      <c r="AG65" s="801"/>
      <c r="AH65" s="801"/>
      <c r="AI65" s="801"/>
      <c r="AJ65" s="801"/>
      <c r="AK65" s="801"/>
      <c r="AL65" s="801"/>
      <c r="AM65" s="801"/>
      <c r="AN65" s="801"/>
      <c r="AO65" s="802"/>
    </row>
    <row r="66" spans="2:41" s="47" customFormat="1" ht="14.4" hidden="1" customHeight="1" x14ac:dyDescent="0.3">
      <c r="B66" s="1068"/>
      <c r="C66" s="767" t="s">
        <v>595</v>
      </c>
      <c r="D66" s="768" t="s">
        <v>596</v>
      </c>
      <c r="E66" s="769" t="s">
        <v>589</v>
      </c>
      <c r="F66" s="770" t="s">
        <v>590</v>
      </c>
      <c r="G66" s="139">
        <v>290</v>
      </c>
      <c r="H66" s="44" t="s">
        <v>593</v>
      </c>
      <c r="I66" s="44" t="s">
        <v>491</v>
      </c>
      <c r="J66" s="801">
        <v>0</v>
      </c>
      <c r="K66" s="868">
        <v>0</v>
      </c>
      <c r="L66" s="85"/>
      <c r="M66" s="66"/>
      <c r="N66" s="66"/>
      <c r="O66" s="66"/>
      <c r="P66" s="66"/>
      <c r="Q66" s="45"/>
      <c r="R66" s="800"/>
      <c r="S66" s="801"/>
      <c r="T66" s="801"/>
      <c r="U66" s="801"/>
      <c r="V66" s="801"/>
      <c r="W66" s="801"/>
      <c r="X66" s="801"/>
      <c r="Y66" s="801"/>
      <c r="Z66" s="801"/>
      <c r="AA66" s="801"/>
      <c r="AB66" s="801"/>
      <c r="AC66" s="802"/>
      <c r="AD66" s="800"/>
      <c r="AE66" s="801"/>
      <c r="AF66" s="801"/>
      <c r="AG66" s="801"/>
      <c r="AH66" s="801"/>
      <c r="AI66" s="801"/>
      <c r="AJ66" s="801"/>
      <c r="AK66" s="801"/>
      <c r="AL66" s="801"/>
      <c r="AM66" s="801"/>
      <c r="AN66" s="801"/>
      <c r="AO66" s="802"/>
    </row>
    <row r="67" spans="2:41" ht="28.95" hidden="1" customHeight="1" x14ac:dyDescent="0.3">
      <c r="B67" s="1068"/>
      <c r="C67" s="759" t="s">
        <v>597</v>
      </c>
      <c r="D67" s="405" t="s">
        <v>1414</v>
      </c>
      <c r="E67" s="771">
        <v>46023</v>
      </c>
      <c r="F67" s="772">
        <v>46613</v>
      </c>
      <c r="G67" s="749">
        <v>590</v>
      </c>
      <c r="H67" s="40" t="s">
        <v>490</v>
      </c>
      <c r="I67" s="40" t="s">
        <v>491</v>
      </c>
      <c r="J67" s="798">
        <v>0</v>
      </c>
      <c r="K67" s="867">
        <v>0</v>
      </c>
      <c r="L67" s="84">
        <v>0</v>
      </c>
      <c r="M67" s="65">
        <v>0</v>
      </c>
      <c r="N67" s="65">
        <v>0</v>
      </c>
      <c r="O67" s="65">
        <v>0</v>
      </c>
      <c r="P67" s="65">
        <v>0</v>
      </c>
      <c r="Q67" s="33">
        <v>0</v>
      </c>
      <c r="R67" s="797"/>
      <c r="S67" s="798"/>
      <c r="T67" s="798"/>
      <c r="U67" s="798"/>
      <c r="V67" s="798"/>
      <c r="W67" s="798"/>
      <c r="X67" s="798"/>
      <c r="Y67" s="798"/>
      <c r="Z67" s="798"/>
      <c r="AA67" s="798"/>
      <c r="AB67" s="798"/>
      <c r="AC67" s="799"/>
      <c r="AD67" s="797"/>
      <c r="AE67" s="798"/>
      <c r="AF67" s="798"/>
      <c r="AG67" s="798"/>
      <c r="AH67" s="798"/>
      <c r="AI67" s="798"/>
      <c r="AJ67" s="798"/>
      <c r="AK67" s="798"/>
      <c r="AL67" s="798"/>
      <c r="AM67" s="798"/>
      <c r="AN67" s="798"/>
      <c r="AO67" s="799"/>
    </row>
    <row r="68" spans="2:41" s="47" customFormat="1" ht="14.4" hidden="1" customHeight="1" x14ac:dyDescent="0.3">
      <c r="B68" s="1068"/>
      <c r="C68" s="767" t="s">
        <v>599</v>
      </c>
      <c r="D68" s="773" t="s">
        <v>600</v>
      </c>
      <c r="E68" s="769">
        <v>46023</v>
      </c>
      <c r="F68" s="770">
        <v>46037</v>
      </c>
      <c r="G68" s="139">
        <v>14</v>
      </c>
      <c r="H68" s="139" t="s">
        <v>490</v>
      </c>
      <c r="I68" s="44" t="s">
        <v>601</v>
      </c>
      <c r="J68" s="801">
        <v>0</v>
      </c>
      <c r="K68" s="869">
        <v>0</v>
      </c>
      <c r="L68" s="86">
        <v>0</v>
      </c>
      <c r="M68" s="67">
        <v>0</v>
      </c>
      <c r="N68" s="66">
        <v>0</v>
      </c>
      <c r="O68" s="66">
        <v>0</v>
      </c>
      <c r="P68" s="66">
        <v>0</v>
      </c>
      <c r="Q68" s="45">
        <v>0</v>
      </c>
      <c r="R68" s="800"/>
      <c r="S68" s="801"/>
      <c r="T68" s="801"/>
      <c r="U68" s="801"/>
      <c r="V68" s="801"/>
      <c r="W68" s="801"/>
      <c r="X68" s="801"/>
      <c r="Y68" s="801"/>
      <c r="Z68" s="801"/>
      <c r="AA68" s="801"/>
      <c r="AB68" s="801"/>
      <c r="AC68" s="802"/>
      <c r="AD68" s="800"/>
      <c r="AE68" s="801"/>
      <c r="AF68" s="801"/>
      <c r="AG68" s="801"/>
      <c r="AH68" s="801"/>
      <c r="AI68" s="801"/>
      <c r="AJ68" s="801"/>
      <c r="AK68" s="801"/>
      <c r="AL68" s="801"/>
      <c r="AM68" s="801"/>
      <c r="AN68" s="801"/>
      <c r="AO68" s="802"/>
    </row>
    <row r="69" spans="2:41" s="47" customFormat="1" ht="14.4" hidden="1" customHeight="1" x14ac:dyDescent="0.3">
      <c r="B69" s="1068"/>
      <c r="C69" s="767" t="s">
        <v>602</v>
      </c>
      <c r="D69" s="773" t="s">
        <v>603</v>
      </c>
      <c r="E69" s="769">
        <v>46204</v>
      </c>
      <c r="F69" s="770">
        <v>46218</v>
      </c>
      <c r="G69" s="139">
        <v>14</v>
      </c>
      <c r="H69" s="139" t="s">
        <v>604</v>
      </c>
      <c r="I69" s="44" t="s">
        <v>605</v>
      </c>
      <c r="J69" s="801">
        <v>0</v>
      </c>
      <c r="K69" s="868">
        <v>0</v>
      </c>
      <c r="L69" s="85">
        <v>0</v>
      </c>
      <c r="M69" s="66">
        <v>0</v>
      </c>
      <c r="N69" s="66">
        <v>0</v>
      </c>
      <c r="O69" s="66">
        <v>0</v>
      </c>
      <c r="P69" s="66">
        <v>0</v>
      </c>
      <c r="Q69" s="45">
        <v>0</v>
      </c>
      <c r="R69" s="800"/>
      <c r="S69" s="801"/>
      <c r="T69" s="801"/>
      <c r="U69" s="801"/>
      <c r="V69" s="801"/>
      <c r="W69" s="801"/>
      <c r="X69" s="801"/>
      <c r="Y69" s="801"/>
      <c r="Z69" s="801"/>
      <c r="AA69" s="801"/>
      <c r="AB69" s="801"/>
      <c r="AC69" s="802"/>
      <c r="AD69" s="800"/>
      <c r="AE69" s="801"/>
      <c r="AF69" s="801"/>
      <c r="AG69" s="801"/>
      <c r="AH69" s="801"/>
      <c r="AI69" s="801"/>
      <c r="AJ69" s="801"/>
      <c r="AK69" s="801"/>
      <c r="AL69" s="801"/>
      <c r="AM69" s="801"/>
      <c r="AN69" s="801"/>
      <c r="AO69" s="802"/>
    </row>
    <row r="70" spans="2:41" s="47" customFormat="1" ht="14.4" hidden="1" customHeight="1" x14ac:dyDescent="0.3">
      <c r="B70" s="1068"/>
      <c r="C70" s="767" t="s">
        <v>606</v>
      </c>
      <c r="D70" s="773" t="s">
        <v>607</v>
      </c>
      <c r="E70" s="769">
        <v>46388</v>
      </c>
      <c r="F70" s="770">
        <v>46402</v>
      </c>
      <c r="G70" s="139">
        <v>14</v>
      </c>
      <c r="H70" s="139" t="s">
        <v>608</v>
      </c>
      <c r="I70" s="44" t="s">
        <v>609</v>
      </c>
      <c r="J70" s="801">
        <v>0</v>
      </c>
      <c r="K70" s="868">
        <v>0</v>
      </c>
      <c r="L70" s="85">
        <v>0</v>
      </c>
      <c r="M70" s="66">
        <v>0</v>
      </c>
      <c r="N70" s="66">
        <v>0</v>
      </c>
      <c r="O70" s="66">
        <v>0</v>
      </c>
      <c r="P70" s="66">
        <v>0</v>
      </c>
      <c r="Q70" s="45">
        <v>0</v>
      </c>
      <c r="R70" s="800"/>
      <c r="S70" s="801"/>
      <c r="T70" s="801"/>
      <c r="U70" s="801"/>
      <c r="V70" s="801"/>
      <c r="W70" s="801"/>
      <c r="X70" s="801"/>
      <c r="Y70" s="801"/>
      <c r="Z70" s="801"/>
      <c r="AA70" s="801"/>
      <c r="AB70" s="801"/>
      <c r="AC70" s="802"/>
      <c r="AD70" s="800"/>
      <c r="AE70" s="801"/>
      <c r="AF70" s="801"/>
      <c r="AG70" s="801"/>
      <c r="AH70" s="801"/>
      <c r="AI70" s="801"/>
      <c r="AJ70" s="801"/>
      <c r="AK70" s="801"/>
      <c r="AL70" s="801"/>
      <c r="AM70" s="801"/>
      <c r="AN70" s="801"/>
      <c r="AO70" s="802"/>
    </row>
    <row r="71" spans="2:41" s="47" customFormat="1" ht="14.4" hidden="1" customHeight="1" x14ac:dyDescent="0.3">
      <c r="B71" s="1068"/>
      <c r="C71" s="767" t="s">
        <v>610</v>
      </c>
      <c r="D71" s="773" t="s">
        <v>611</v>
      </c>
      <c r="E71" s="769">
        <v>46569</v>
      </c>
      <c r="F71" s="770">
        <v>46583</v>
      </c>
      <c r="G71" s="139">
        <v>14</v>
      </c>
      <c r="H71" s="139" t="s">
        <v>612</v>
      </c>
      <c r="I71" s="44" t="s">
        <v>613</v>
      </c>
      <c r="J71" s="801">
        <v>0</v>
      </c>
      <c r="K71" s="868">
        <v>0</v>
      </c>
      <c r="L71" s="85">
        <v>0</v>
      </c>
      <c r="M71" s="66">
        <v>0</v>
      </c>
      <c r="N71" s="66">
        <v>0</v>
      </c>
      <c r="O71" s="66">
        <v>0</v>
      </c>
      <c r="P71" s="66">
        <v>0</v>
      </c>
      <c r="Q71" s="45">
        <v>0</v>
      </c>
      <c r="R71" s="800"/>
      <c r="S71" s="801"/>
      <c r="T71" s="801"/>
      <c r="U71" s="801"/>
      <c r="V71" s="801"/>
      <c r="W71" s="801"/>
      <c r="X71" s="801"/>
      <c r="Y71" s="801"/>
      <c r="Z71" s="801"/>
      <c r="AA71" s="801"/>
      <c r="AB71" s="801"/>
      <c r="AC71" s="802"/>
      <c r="AD71" s="800"/>
      <c r="AE71" s="801"/>
      <c r="AF71" s="801"/>
      <c r="AG71" s="801"/>
      <c r="AH71" s="801"/>
      <c r="AI71" s="801"/>
      <c r="AJ71" s="801"/>
      <c r="AK71" s="801"/>
      <c r="AL71" s="801"/>
      <c r="AM71" s="801"/>
      <c r="AN71" s="801"/>
      <c r="AO71" s="802"/>
    </row>
    <row r="72" spans="2:41" s="47" customFormat="1" ht="14.4" hidden="1" customHeight="1" x14ac:dyDescent="0.3">
      <c r="B72" s="1068"/>
      <c r="C72" s="767" t="s">
        <v>601</v>
      </c>
      <c r="D72" s="773" t="s">
        <v>614</v>
      </c>
      <c r="E72" s="769">
        <v>46038</v>
      </c>
      <c r="F72" s="770">
        <v>46053</v>
      </c>
      <c r="G72" s="139">
        <v>15</v>
      </c>
      <c r="H72" s="139" t="s">
        <v>599</v>
      </c>
      <c r="I72" s="44" t="s">
        <v>615</v>
      </c>
      <c r="J72" s="801">
        <v>0</v>
      </c>
      <c r="K72" s="868">
        <v>0</v>
      </c>
      <c r="L72" s="85">
        <v>0</v>
      </c>
      <c r="M72" s="66">
        <v>0</v>
      </c>
      <c r="N72" s="66">
        <v>0</v>
      </c>
      <c r="O72" s="66">
        <v>0</v>
      </c>
      <c r="P72" s="66">
        <v>0</v>
      </c>
      <c r="Q72" s="45">
        <v>0</v>
      </c>
      <c r="R72" s="800"/>
      <c r="S72" s="801"/>
      <c r="T72" s="801"/>
      <c r="U72" s="801"/>
      <c r="V72" s="801"/>
      <c r="W72" s="801"/>
      <c r="X72" s="801"/>
      <c r="Y72" s="801"/>
      <c r="Z72" s="801"/>
      <c r="AA72" s="801"/>
      <c r="AB72" s="801"/>
      <c r="AC72" s="802"/>
      <c r="AD72" s="800"/>
      <c r="AE72" s="801"/>
      <c r="AF72" s="801"/>
      <c r="AG72" s="801"/>
      <c r="AH72" s="801"/>
      <c r="AI72" s="801"/>
      <c r="AJ72" s="801"/>
      <c r="AK72" s="801"/>
      <c r="AL72" s="801"/>
      <c r="AM72" s="801"/>
      <c r="AN72" s="801"/>
      <c r="AO72" s="802"/>
    </row>
    <row r="73" spans="2:41" s="47" customFormat="1" ht="14.4" hidden="1" customHeight="1" x14ac:dyDescent="0.3">
      <c r="B73" s="1068"/>
      <c r="C73" s="767" t="s">
        <v>605</v>
      </c>
      <c r="D73" s="773" t="s">
        <v>616</v>
      </c>
      <c r="E73" s="769">
        <v>46219</v>
      </c>
      <c r="F73" s="770">
        <v>46234</v>
      </c>
      <c r="G73" s="139">
        <v>15</v>
      </c>
      <c r="H73" s="139" t="s">
        <v>602</v>
      </c>
      <c r="I73" s="44" t="s">
        <v>617</v>
      </c>
      <c r="J73" s="801">
        <v>0</v>
      </c>
      <c r="K73" s="868">
        <v>0</v>
      </c>
      <c r="L73" s="85">
        <v>0</v>
      </c>
      <c r="M73" s="66">
        <v>0</v>
      </c>
      <c r="N73" s="66">
        <v>0</v>
      </c>
      <c r="O73" s="66">
        <v>0</v>
      </c>
      <c r="P73" s="66">
        <v>0</v>
      </c>
      <c r="Q73" s="45">
        <v>0</v>
      </c>
      <c r="R73" s="800"/>
      <c r="S73" s="801"/>
      <c r="T73" s="801"/>
      <c r="U73" s="801"/>
      <c r="V73" s="801"/>
      <c r="W73" s="801"/>
      <c r="X73" s="801"/>
      <c r="Y73" s="801"/>
      <c r="Z73" s="801"/>
      <c r="AA73" s="801"/>
      <c r="AB73" s="801"/>
      <c r="AC73" s="802"/>
      <c r="AD73" s="800"/>
      <c r="AE73" s="801"/>
      <c r="AF73" s="801"/>
      <c r="AG73" s="801"/>
      <c r="AH73" s="801"/>
      <c r="AI73" s="801"/>
      <c r="AJ73" s="801"/>
      <c r="AK73" s="801"/>
      <c r="AL73" s="801"/>
      <c r="AM73" s="801"/>
      <c r="AN73" s="801"/>
      <c r="AO73" s="802"/>
    </row>
    <row r="74" spans="2:41" s="47" customFormat="1" ht="14.4" hidden="1" customHeight="1" x14ac:dyDescent="0.3">
      <c r="B74" s="1068"/>
      <c r="C74" s="767" t="s">
        <v>609</v>
      </c>
      <c r="D74" s="773" t="s">
        <v>618</v>
      </c>
      <c r="E74" s="769">
        <v>46403</v>
      </c>
      <c r="F74" s="770">
        <v>46418</v>
      </c>
      <c r="G74" s="139">
        <v>15</v>
      </c>
      <c r="H74" s="139" t="s">
        <v>606</v>
      </c>
      <c r="I74" s="44" t="s">
        <v>619</v>
      </c>
      <c r="J74" s="801">
        <v>0</v>
      </c>
      <c r="K74" s="868">
        <v>0</v>
      </c>
      <c r="L74" s="85">
        <v>0</v>
      </c>
      <c r="M74" s="66">
        <v>0</v>
      </c>
      <c r="N74" s="66">
        <v>0</v>
      </c>
      <c r="O74" s="66">
        <v>0</v>
      </c>
      <c r="P74" s="66">
        <v>0</v>
      </c>
      <c r="Q74" s="45">
        <v>0</v>
      </c>
      <c r="R74" s="800"/>
      <c r="S74" s="801"/>
      <c r="T74" s="801"/>
      <c r="U74" s="801"/>
      <c r="V74" s="801"/>
      <c r="W74" s="801"/>
      <c r="X74" s="801"/>
      <c r="Y74" s="801"/>
      <c r="Z74" s="801"/>
      <c r="AA74" s="801"/>
      <c r="AB74" s="801"/>
      <c r="AC74" s="802"/>
      <c r="AD74" s="800"/>
      <c r="AE74" s="801"/>
      <c r="AF74" s="801"/>
      <c r="AG74" s="801"/>
      <c r="AH74" s="801"/>
      <c r="AI74" s="801"/>
      <c r="AJ74" s="801"/>
      <c r="AK74" s="801"/>
      <c r="AL74" s="801"/>
      <c r="AM74" s="801"/>
      <c r="AN74" s="801"/>
      <c r="AO74" s="802"/>
    </row>
    <row r="75" spans="2:41" s="47" customFormat="1" ht="14.4" hidden="1" customHeight="1" x14ac:dyDescent="0.3">
      <c r="B75" s="1068"/>
      <c r="C75" s="767" t="s">
        <v>613</v>
      </c>
      <c r="D75" s="773" t="s">
        <v>620</v>
      </c>
      <c r="E75" s="769">
        <v>46584</v>
      </c>
      <c r="F75" s="770">
        <v>46599</v>
      </c>
      <c r="G75" s="139">
        <v>15</v>
      </c>
      <c r="H75" s="139" t="s">
        <v>610</v>
      </c>
      <c r="I75" s="44" t="s">
        <v>621</v>
      </c>
      <c r="J75" s="801">
        <v>0</v>
      </c>
      <c r="K75" s="868">
        <v>0</v>
      </c>
      <c r="L75" s="85">
        <v>0</v>
      </c>
      <c r="M75" s="66">
        <v>0</v>
      </c>
      <c r="N75" s="66">
        <v>0</v>
      </c>
      <c r="O75" s="66">
        <v>0</v>
      </c>
      <c r="P75" s="66">
        <v>0</v>
      </c>
      <c r="Q75" s="45">
        <v>0</v>
      </c>
      <c r="R75" s="800"/>
      <c r="S75" s="801"/>
      <c r="T75" s="801"/>
      <c r="U75" s="801"/>
      <c r="V75" s="801"/>
      <c r="W75" s="801"/>
      <c r="X75" s="801"/>
      <c r="Y75" s="801"/>
      <c r="Z75" s="801"/>
      <c r="AA75" s="801"/>
      <c r="AB75" s="801"/>
      <c r="AC75" s="802"/>
      <c r="AD75" s="800"/>
      <c r="AE75" s="801"/>
      <c r="AF75" s="801"/>
      <c r="AG75" s="801"/>
      <c r="AH75" s="801"/>
      <c r="AI75" s="801"/>
      <c r="AJ75" s="801"/>
      <c r="AK75" s="801"/>
      <c r="AL75" s="801"/>
      <c r="AM75" s="801"/>
      <c r="AN75" s="801"/>
      <c r="AO75" s="802"/>
    </row>
    <row r="76" spans="2:41" s="47" customFormat="1" ht="14.4" hidden="1" customHeight="1" x14ac:dyDescent="0.3">
      <c r="B76" s="1068"/>
      <c r="C76" s="767" t="s">
        <v>615</v>
      </c>
      <c r="D76" s="773" t="s">
        <v>622</v>
      </c>
      <c r="E76" s="774">
        <v>46054</v>
      </c>
      <c r="F76" s="770">
        <v>46066</v>
      </c>
      <c r="G76" s="139">
        <v>12</v>
      </c>
      <c r="H76" s="139" t="s">
        <v>601</v>
      </c>
      <c r="I76" s="44" t="s">
        <v>604</v>
      </c>
      <c r="J76" s="801">
        <v>0</v>
      </c>
      <c r="K76" s="868">
        <v>0</v>
      </c>
      <c r="L76" s="85">
        <v>0</v>
      </c>
      <c r="M76" s="66">
        <v>0</v>
      </c>
      <c r="N76" s="66">
        <v>0</v>
      </c>
      <c r="O76" s="66">
        <v>0</v>
      </c>
      <c r="P76" s="66">
        <v>0</v>
      </c>
      <c r="Q76" s="45">
        <v>0</v>
      </c>
      <c r="R76" s="800"/>
      <c r="S76" s="801"/>
      <c r="T76" s="801"/>
      <c r="U76" s="801"/>
      <c r="V76" s="801"/>
      <c r="W76" s="801"/>
      <c r="X76" s="801"/>
      <c r="Y76" s="801"/>
      <c r="Z76" s="801"/>
      <c r="AA76" s="801"/>
      <c r="AB76" s="801"/>
      <c r="AC76" s="802"/>
      <c r="AD76" s="800"/>
      <c r="AE76" s="801"/>
      <c r="AF76" s="801"/>
      <c r="AG76" s="801"/>
      <c r="AH76" s="801"/>
      <c r="AI76" s="801"/>
      <c r="AJ76" s="801"/>
      <c r="AK76" s="801"/>
      <c r="AL76" s="801"/>
      <c r="AM76" s="801"/>
      <c r="AN76" s="801"/>
      <c r="AO76" s="802"/>
    </row>
    <row r="77" spans="2:41" s="47" customFormat="1" ht="14.4" hidden="1" customHeight="1" x14ac:dyDescent="0.3">
      <c r="B77" s="1068"/>
      <c r="C77" s="767" t="s">
        <v>617</v>
      </c>
      <c r="D77" s="773" t="s">
        <v>623</v>
      </c>
      <c r="E77" s="774">
        <v>46235</v>
      </c>
      <c r="F77" s="770">
        <v>46247</v>
      </c>
      <c r="G77" s="139">
        <v>12</v>
      </c>
      <c r="H77" s="139" t="s">
        <v>605</v>
      </c>
      <c r="I77" s="44" t="s">
        <v>608</v>
      </c>
      <c r="J77" s="801">
        <v>0</v>
      </c>
      <c r="K77" s="868">
        <v>0</v>
      </c>
      <c r="L77" s="85">
        <v>0</v>
      </c>
      <c r="M77" s="66">
        <v>0</v>
      </c>
      <c r="N77" s="66">
        <v>0</v>
      </c>
      <c r="O77" s="66">
        <v>0</v>
      </c>
      <c r="P77" s="66">
        <v>0</v>
      </c>
      <c r="Q77" s="45">
        <v>0</v>
      </c>
      <c r="R77" s="800"/>
      <c r="S77" s="801"/>
      <c r="T77" s="801"/>
      <c r="U77" s="801"/>
      <c r="V77" s="801"/>
      <c r="W77" s="801"/>
      <c r="X77" s="801"/>
      <c r="Y77" s="801"/>
      <c r="Z77" s="801"/>
      <c r="AA77" s="801"/>
      <c r="AB77" s="801"/>
      <c r="AC77" s="802"/>
      <c r="AD77" s="800"/>
      <c r="AE77" s="801"/>
      <c r="AF77" s="801"/>
      <c r="AG77" s="801"/>
      <c r="AH77" s="801"/>
      <c r="AI77" s="801"/>
      <c r="AJ77" s="801"/>
      <c r="AK77" s="801"/>
      <c r="AL77" s="801"/>
      <c r="AM77" s="801"/>
      <c r="AN77" s="801"/>
      <c r="AO77" s="802"/>
    </row>
    <row r="78" spans="2:41" s="47" customFormat="1" ht="14.4" hidden="1" customHeight="1" x14ac:dyDescent="0.3">
      <c r="B78" s="1068"/>
      <c r="C78" s="767" t="s">
        <v>619</v>
      </c>
      <c r="D78" s="773" t="s">
        <v>624</v>
      </c>
      <c r="E78" s="774">
        <v>46419</v>
      </c>
      <c r="F78" s="770">
        <v>46431</v>
      </c>
      <c r="G78" s="139">
        <v>12</v>
      </c>
      <c r="H78" s="139" t="s">
        <v>609</v>
      </c>
      <c r="I78" s="44" t="s">
        <v>612</v>
      </c>
      <c r="J78" s="801">
        <v>0</v>
      </c>
      <c r="K78" s="868">
        <v>0</v>
      </c>
      <c r="L78" s="85">
        <v>0</v>
      </c>
      <c r="M78" s="66">
        <v>0</v>
      </c>
      <c r="N78" s="66">
        <v>0</v>
      </c>
      <c r="O78" s="66">
        <v>0</v>
      </c>
      <c r="P78" s="66">
        <v>0</v>
      </c>
      <c r="Q78" s="45">
        <v>0</v>
      </c>
      <c r="R78" s="800"/>
      <c r="S78" s="801"/>
      <c r="T78" s="801"/>
      <c r="U78" s="801"/>
      <c r="V78" s="801"/>
      <c r="W78" s="801"/>
      <c r="X78" s="801"/>
      <c r="Y78" s="801"/>
      <c r="Z78" s="801"/>
      <c r="AA78" s="801"/>
      <c r="AB78" s="801"/>
      <c r="AC78" s="802"/>
      <c r="AD78" s="800"/>
      <c r="AE78" s="801"/>
      <c r="AF78" s="801"/>
      <c r="AG78" s="801"/>
      <c r="AH78" s="801"/>
      <c r="AI78" s="801"/>
      <c r="AJ78" s="801"/>
      <c r="AK78" s="801"/>
      <c r="AL78" s="801"/>
      <c r="AM78" s="801"/>
      <c r="AN78" s="801"/>
      <c r="AO78" s="802"/>
    </row>
    <row r="79" spans="2:41" s="47" customFormat="1" ht="14.4" hidden="1" customHeight="1" x14ac:dyDescent="0.3">
      <c r="B79" s="1068"/>
      <c r="C79" s="767" t="s">
        <v>621</v>
      </c>
      <c r="D79" s="773" t="s">
        <v>625</v>
      </c>
      <c r="E79" s="774">
        <v>46600</v>
      </c>
      <c r="F79" s="770">
        <v>46612</v>
      </c>
      <c r="G79" s="139">
        <v>12</v>
      </c>
      <c r="H79" s="139" t="s">
        <v>613</v>
      </c>
      <c r="I79" s="44" t="s">
        <v>626</v>
      </c>
      <c r="J79" s="801">
        <v>0</v>
      </c>
      <c r="K79" s="868">
        <v>0</v>
      </c>
      <c r="L79" s="85">
        <v>0</v>
      </c>
      <c r="M79" s="66">
        <v>0</v>
      </c>
      <c r="N79" s="66">
        <v>0</v>
      </c>
      <c r="O79" s="66">
        <v>0</v>
      </c>
      <c r="P79" s="66">
        <v>0</v>
      </c>
      <c r="Q79" s="45">
        <v>0</v>
      </c>
      <c r="R79" s="800"/>
      <c r="S79" s="801"/>
      <c r="T79" s="801"/>
      <c r="U79" s="801"/>
      <c r="V79" s="801"/>
      <c r="W79" s="801"/>
      <c r="X79" s="801"/>
      <c r="Y79" s="801"/>
      <c r="Z79" s="801"/>
      <c r="AA79" s="801"/>
      <c r="AB79" s="801"/>
      <c r="AC79" s="802"/>
      <c r="AD79" s="800"/>
      <c r="AE79" s="801"/>
      <c r="AF79" s="801"/>
      <c r="AG79" s="801"/>
      <c r="AH79" s="801"/>
      <c r="AI79" s="801"/>
      <c r="AJ79" s="801"/>
      <c r="AK79" s="801"/>
      <c r="AL79" s="801"/>
      <c r="AM79" s="801"/>
      <c r="AN79" s="801"/>
      <c r="AO79" s="802"/>
    </row>
    <row r="80" spans="2:41" s="47" customFormat="1" ht="14.4" hidden="1" customHeight="1" x14ac:dyDescent="0.3">
      <c r="B80" s="1068"/>
      <c r="C80" s="767" t="s">
        <v>604</v>
      </c>
      <c r="D80" s="773" t="s">
        <v>627</v>
      </c>
      <c r="E80" s="769">
        <v>46067</v>
      </c>
      <c r="F80" s="770">
        <v>46067</v>
      </c>
      <c r="G80" s="139">
        <v>0</v>
      </c>
      <c r="H80" s="139" t="s">
        <v>615</v>
      </c>
      <c r="I80" s="44" t="s">
        <v>602</v>
      </c>
      <c r="J80" s="801">
        <v>0</v>
      </c>
      <c r="K80" s="868">
        <v>0</v>
      </c>
      <c r="L80" s="85">
        <v>0</v>
      </c>
      <c r="M80" s="66">
        <v>0</v>
      </c>
      <c r="N80" s="66">
        <v>0</v>
      </c>
      <c r="O80" s="66">
        <v>0</v>
      </c>
      <c r="P80" s="66">
        <v>0</v>
      </c>
      <c r="Q80" s="45">
        <v>0</v>
      </c>
      <c r="R80" s="800"/>
      <c r="S80" s="801"/>
      <c r="T80" s="801"/>
      <c r="U80" s="801"/>
      <c r="V80" s="801"/>
      <c r="W80" s="801"/>
      <c r="X80" s="801"/>
      <c r="Y80" s="801"/>
      <c r="Z80" s="801"/>
      <c r="AA80" s="801"/>
      <c r="AB80" s="801"/>
      <c r="AC80" s="802"/>
      <c r="AD80" s="800"/>
      <c r="AE80" s="801"/>
      <c r="AF80" s="801"/>
      <c r="AG80" s="801"/>
      <c r="AH80" s="801"/>
      <c r="AI80" s="801"/>
      <c r="AJ80" s="801"/>
      <c r="AK80" s="801"/>
      <c r="AL80" s="801"/>
      <c r="AM80" s="801"/>
      <c r="AN80" s="801"/>
      <c r="AO80" s="802"/>
    </row>
    <row r="81" spans="2:41" s="47" customFormat="1" ht="14.4" hidden="1" customHeight="1" x14ac:dyDescent="0.3">
      <c r="B81" s="1068"/>
      <c r="C81" s="767" t="s">
        <v>608</v>
      </c>
      <c r="D81" s="773" t="s">
        <v>628</v>
      </c>
      <c r="E81" s="775">
        <v>46248</v>
      </c>
      <c r="F81" s="776">
        <v>46248</v>
      </c>
      <c r="G81" s="139">
        <v>0</v>
      </c>
      <c r="H81" s="139" t="s">
        <v>617</v>
      </c>
      <c r="I81" s="44" t="s">
        <v>606</v>
      </c>
      <c r="J81" s="801">
        <v>0</v>
      </c>
      <c r="K81" s="868">
        <v>0</v>
      </c>
      <c r="L81" s="85">
        <v>0</v>
      </c>
      <c r="M81" s="66">
        <v>0</v>
      </c>
      <c r="N81" s="66">
        <v>0</v>
      </c>
      <c r="O81" s="66">
        <v>0</v>
      </c>
      <c r="P81" s="66">
        <v>0</v>
      </c>
      <c r="Q81" s="45">
        <v>0</v>
      </c>
      <c r="R81" s="800"/>
      <c r="S81" s="801"/>
      <c r="T81" s="801"/>
      <c r="U81" s="801"/>
      <c r="V81" s="801"/>
      <c r="W81" s="801"/>
      <c r="X81" s="801"/>
      <c r="Y81" s="801"/>
      <c r="Z81" s="801"/>
      <c r="AA81" s="801"/>
      <c r="AB81" s="801"/>
      <c r="AC81" s="802"/>
      <c r="AD81" s="800"/>
      <c r="AE81" s="801"/>
      <c r="AF81" s="801"/>
      <c r="AG81" s="801"/>
      <c r="AH81" s="801"/>
      <c r="AI81" s="801"/>
      <c r="AJ81" s="801"/>
      <c r="AK81" s="801"/>
      <c r="AL81" s="801"/>
      <c r="AM81" s="801"/>
      <c r="AN81" s="801"/>
      <c r="AO81" s="802"/>
    </row>
    <row r="82" spans="2:41" s="47" customFormat="1" ht="14.4" hidden="1" customHeight="1" x14ac:dyDescent="0.3">
      <c r="B82" s="1068"/>
      <c r="C82" s="767" t="s">
        <v>612</v>
      </c>
      <c r="D82" s="773" t="s">
        <v>629</v>
      </c>
      <c r="E82" s="775">
        <v>46432</v>
      </c>
      <c r="F82" s="776">
        <v>46432</v>
      </c>
      <c r="G82" s="139">
        <v>0</v>
      </c>
      <c r="H82" s="139" t="s">
        <v>619</v>
      </c>
      <c r="I82" s="44" t="s">
        <v>610</v>
      </c>
      <c r="J82" s="801">
        <v>0</v>
      </c>
      <c r="K82" s="868">
        <v>0</v>
      </c>
      <c r="L82" s="85">
        <v>0</v>
      </c>
      <c r="M82" s="66">
        <v>0</v>
      </c>
      <c r="N82" s="66">
        <v>0</v>
      </c>
      <c r="O82" s="66">
        <v>0</v>
      </c>
      <c r="P82" s="66">
        <v>0</v>
      </c>
      <c r="Q82" s="45">
        <v>0</v>
      </c>
      <c r="R82" s="800"/>
      <c r="S82" s="801"/>
      <c r="T82" s="801"/>
      <c r="U82" s="801"/>
      <c r="V82" s="801"/>
      <c r="W82" s="801"/>
      <c r="X82" s="801"/>
      <c r="Y82" s="801"/>
      <c r="Z82" s="801"/>
      <c r="AA82" s="801"/>
      <c r="AB82" s="801"/>
      <c r="AC82" s="802"/>
      <c r="AD82" s="800"/>
      <c r="AE82" s="801"/>
      <c r="AF82" s="801"/>
      <c r="AG82" s="801"/>
      <c r="AH82" s="801"/>
      <c r="AI82" s="801"/>
      <c r="AJ82" s="801"/>
      <c r="AK82" s="801"/>
      <c r="AL82" s="801"/>
      <c r="AM82" s="801"/>
      <c r="AN82" s="801"/>
      <c r="AO82" s="802"/>
    </row>
    <row r="83" spans="2:41" s="47" customFormat="1" ht="14.4" hidden="1" customHeight="1" x14ac:dyDescent="0.3">
      <c r="B83" s="1068"/>
      <c r="C83" s="767" t="s">
        <v>626</v>
      </c>
      <c r="D83" s="773" t="s">
        <v>630</v>
      </c>
      <c r="E83" s="775">
        <v>46613</v>
      </c>
      <c r="F83" s="776">
        <v>46613</v>
      </c>
      <c r="G83" s="139">
        <v>0</v>
      </c>
      <c r="H83" s="139" t="s">
        <v>621</v>
      </c>
      <c r="I83" s="44" t="s">
        <v>491</v>
      </c>
      <c r="J83" s="801">
        <v>0</v>
      </c>
      <c r="K83" s="868">
        <v>0</v>
      </c>
      <c r="L83" s="85">
        <v>0</v>
      </c>
      <c r="M83" s="66">
        <v>0</v>
      </c>
      <c r="N83" s="66"/>
      <c r="O83" s="66"/>
      <c r="P83" s="66"/>
      <c r="Q83" s="45"/>
      <c r="R83" s="800"/>
      <c r="S83" s="801"/>
      <c r="T83" s="801"/>
      <c r="U83" s="801"/>
      <c r="V83" s="801"/>
      <c r="W83" s="801"/>
      <c r="X83" s="801"/>
      <c r="Y83" s="801"/>
      <c r="Z83" s="801"/>
      <c r="AA83" s="801"/>
      <c r="AB83" s="801"/>
      <c r="AC83" s="802"/>
      <c r="AD83" s="800"/>
      <c r="AE83" s="801"/>
      <c r="AF83" s="801"/>
      <c r="AG83" s="801"/>
      <c r="AH83" s="801"/>
      <c r="AI83" s="801"/>
      <c r="AJ83" s="801"/>
      <c r="AK83" s="801"/>
      <c r="AL83" s="801"/>
      <c r="AM83" s="801"/>
      <c r="AN83" s="801"/>
      <c r="AO83" s="802"/>
    </row>
    <row r="84" spans="2:41" ht="28.95" hidden="1" customHeight="1" x14ac:dyDescent="0.3">
      <c r="B84" s="1068"/>
      <c r="C84" s="759" t="s">
        <v>631</v>
      </c>
      <c r="D84" s="405" t="s">
        <v>1415</v>
      </c>
      <c r="E84" s="777">
        <v>46029</v>
      </c>
      <c r="F84" s="778" t="s">
        <v>644</v>
      </c>
      <c r="G84" s="750">
        <v>236</v>
      </c>
      <c r="H84" s="40" t="s">
        <v>490</v>
      </c>
      <c r="I84" s="40" t="s">
        <v>491</v>
      </c>
      <c r="J84" s="798">
        <v>0</v>
      </c>
      <c r="K84" s="867">
        <v>0</v>
      </c>
      <c r="L84" s="84">
        <v>0</v>
      </c>
      <c r="M84" s="65">
        <v>0</v>
      </c>
      <c r="N84" s="65">
        <v>0</v>
      </c>
      <c r="O84" s="65">
        <v>0</v>
      </c>
      <c r="P84" s="65">
        <v>0</v>
      </c>
      <c r="Q84" s="33">
        <v>0</v>
      </c>
      <c r="R84" s="797"/>
      <c r="S84" s="798"/>
      <c r="T84" s="798"/>
      <c r="U84" s="798"/>
      <c r="V84" s="798"/>
      <c r="W84" s="798"/>
      <c r="X84" s="798"/>
      <c r="Y84" s="798"/>
      <c r="Z84" s="798"/>
      <c r="AA84" s="798"/>
      <c r="AB84" s="798"/>
      <c r="AC84" s="799"/>
      <c r="AD84" s="797"/>
      <c r="AE84" s="798"/>
      <c r="AF84" s="798"/>
      <c r="AG84" s="798"/>
      <c r="AH84" s="798"/>
      <c r="AI84" s="798"/>
      <c r="AJ84" s="798"/>
      <c r="AK84" s="798"/>
      <c r="AL84" s="798"/>
      <c r="AM84" s="798"/>
      <c r="AN84" s="798"/>
      <c r="AO84" s="799"/>
    </row>
    <row r="85" spans="2:41" s="47" customFormat="1" ht="14.4" hidden="1" customHeight="1" x14ac:dyDescent="0.3">
      <c r="B85" s="1068"/>
      <c r="C85" s="767" t="s">
        <v>633</v>
      </c>
      <c r="D85" s="768" t="s">
        <v>634</v>
      </c>
      <c r="E85" s="769">
        <v>46029</v>
      </c>
      <c r="F85" s="770" t="s">
        <v>635</v>
      </c>
      <c r="G85" s="139">
        <v>194</v>
      </c>
      <c r="H85" s="44" t="s">
        <v>490</v>
      </c>
      <c r="I85" s="44" t="s">
        <v>636</v>
      </c>
      <c r="J85" s="801">
        <v>0</v>
      </c>
      <c r="K85" s="868">
        <v>0</v>
      </c>
      <c r="L85" s="85">
        <v>0</v>
      </c>
      <c r="M85" s="66">
        <v>0</v>
      </c>
      <c r="N85" s="66">
        <v>0</v>
      </c>
      <c r="O85" s="66">
        <v>0</v>
      </c>
      <c r="P85" s="66">
        <v>0</v>
      </c>
      <c r="Q85" s="45">
        <v>0</v>
      </c>
      <c r="R85" s="800"/>
      <c r="S85" s="801"/>
      <c r="T85" s="801"/>
      <c r="U85" s="801"/>
      <c r="V85" s="801"/>
      <c r="W85" s="801"/>
      <c r="X85" s="801"/>
      <c r="Y85" s="801"/>
      <c r="Z85" s="801"/>
      <c r="AA85" s="801"/>
      <c r="AB85" s="801"/>
      <c r="AC85" s="802"/>
      <c r="AD85" s="800"/>
      <c r="AE85" s="801"/>
      <c r="AF85" s="801"/>
      <c r="AG85" s="801"/>
      <c r="AH85" s="801"/>
      <c r="AI85" s="801"/>
      <c r="AJ85" s="801"/>
      <c r="AK85" s="801"/>
      <c r="AL85" s="801"/>
      <c r="AM85" s="801"/>
      <c r="AN85" s="801"/>
      <c r="AO85" s="802"/>
    </row>
    <row r="86" spans="2:41" s="47" customFormat="1" ht="14.4" hidden="1" customHeight="1" x14ac:dyDescent="0.3">
      <c r="B86" s="1068"/>
      <c r="C86" s="767" t="s">
        <v>636</v>
      </c>
      <c r="D86" s="768" t="s">
        <v>637</v>
      </c>
      <c r="E86" s="769" t="s">
        <v>635</v>
      </c>
      <c r="F86" s="770" t="s">
        <v>638</v>
      </c>
      <c r="G86" s="139">
        <v>11</v>
      </c>
      <c r="H86" s="44" t="s">
        <v>633</v>
      </c>
      <c r="I86" s="44" t="s">
        <v>639</v>
      </c>
      <c r="J86" s="801">
        <v>0</v>
      </c>
      <c r="K86" s="868">
        <v>0</v>
      </c>
      <c r="L86" s="85">
        <v>0</v>
      </c>
      <c r="M86" s="66">
        <v>0</v>
      </c>
      <c r="N86" s="66">
        <v>0</v>
      </c>
      <c r="O86" s="66">
        <v>0</v>
      </c>
      <c r="P86" s="66">
        <v>0</v>
      </c>
      <c r="Q86" s="45">
        <v>0</v>
      </c>
      <c r="R86" s="800"/>
      <c r="S86" s="801"/>
      <c r="T86" s="801"/>
      <c r="U86" s="801"/>
      <c r="V86" s="801"/>
      <c r="W86" s="801"/>
      <c r="X86" s="801"/>
      <c r="Y86" s="801"/>
      <c r="Z86" s="801"/>
      <c r="AA86" s="801"/>
      <c r="AB86" s="801"/>
      <c r="AC86" s="802"/>
      <c r="AD86" s="800"/>
      <c r="AE86" s="801"/>
      <c r="AF86" s="801"/>
      <c r="AG86" s="801"/>
      <c r="AH86" s="801"/>
      <c r="AI86" s="801"/>
      <c r="AJ86" s="801"/>
      <c r="AK86" s="801"/>
      <c r="AL86" s="801"/>
      <c r="AM86" s="801"/>
      <c r="AN86" s="801"/>
      <c r="AO86" s="802"/>
    </row>
    <row r="87" spans="2:41" s="47" customFormat="1" ht="14.4" hidden="1" customHeight="1" x14ac:dyDescent="0.3">
      <c r="B87" s="1068"/>
      <c r="C87" s="767" t="s">
        <v>639</v>
      </c>
      <c r="D87" s="768" t="s">
        <v>640</v>
      </c>
      <c r="E87" s="769">
        <v>46030</v>
      </c>
      <c r="F87" s="770" t="s">
        <v>641</v>
      </c>
      <c r="G87" s="139">
        <v>218</v>
      </c>
      <c r="H87" s="44" t="s">
        <v>636</v>
      </c>
      <c r="I87" s="44" t="s">
        <v>642</v>
      </c>
      <c r="J87" s="801">
        <v>0</v>
      </c>
      <c r="K87" s="868">
        <v>0</v>
      </c>
      <c r="L87" s="85">
        <v>0</v>
      </c>
      <c r="M87" s="66">
        <v>0</v>
      </c>
      <c r="N87" s="66">
        <v>0</v>
      </c>
      <c r="O87" s="66">
        <v>0</v>
      </c>
      <c r="P87" s="66">
        <v>0</v>
      </c>
      <c r="Q87" s="45">
        <v>0</v>
      </c>
      <c r="R87" s="800"/>
      <c r="S87" s="801"/>
      <c r="T87" s="801"/>
      <c r="U87" s="801"/>
      <c r="V87" s="801"/>
      <c r="W87" s="801"/>
      <c r="X87" s="801"/>
      <c r="Y87" s="801"/>
      <c r="Z87" s="801"/>
      <c r="AA87" s="801"/>
      <c r="AB87" s="801"/>
      <c r="AC87" s="802"/>
      <c r="AD87" s="800"/>
      <c r="AE87" s="801"/>
      <c r="AF87" s="801"/>
      <c r="AG87" s="801"/>
      <c r="AH87" s="801"/>
      <c r="AI87" s="801"/>
      <c r="AJ87" s="801"/>
      <c r="AK87" s="801"/>
      <c r="AL87" s="801"/>
      <c r="AM87" s="801"/>
      <c r="AN87" s="801"/>
      <c r="AO87" s="802"/>
    </row>
    <row r="88" spans="2:41" s="47" customFormat="1" ht="14.4" hidden="1" customHeight="1" x14ac:dyDescent="0.3">
      <c r="B88" s="1068"/>
      <c r="C88" s="767" t="s">
        <v>642</v>
      </c>
      <c r="D88" s="768" t="s">
        <v>643</v>
      </c>
      <c r="E88" s="769">
        <v>46249</v>
      </c>
      <c r="F88" s="770" t="s">
        <v>644</v>
      </c>
      <c r="G88" s="139">
        <v>16</v>
      </c>
      <c r="H88" s="44" t="s">
        <v>639</v>
      </c>
      <c r="I88" s="44" t="s">
        <v>491</v>
      </c>
      <c r="J88" s="801">
        <v>0</v>
      </c>
      <c r="K88" s="868">
        <v>0</v>
      </c>
      <c r="L88" s="85">
        <v>0</v>
      </c>
      <c r="M88" s="66">
        <v>0</v>
      </c>
      <c r="N88" s="66">
        <v>0</v>
      </c>
      <c r="O88" s="66">
        <v>0</v>
      </c>
      <c r="P88" s="66">
        <v>0</v>
      </c>
      <c r="Q88" s="45">
        <v>0</v>
      </c>
      <c r="R88" s="800"/>
      <c r="S88" s="801"/>
      <c r="T88" s="801"/>
      <c r="U88" s="801"/>
      <c r="V88" s="801"/>
      <c r="W88" s="801"/>
      <c r="X88" s="801"/>
      <c r="Y88" s="801"/>
      <c r="Z88" s="801"/>
      <c r="AA88" s="801"/>
      <c r="AB88" s="801"/>
      <c r="AC88" s="802"/>
      <c r="AD88" s="800"/>
      <c r="AE88" s="801"/>
      <c r="AF88" s="801"/>
      <c r="AG88" s="801"/>
      <c r="AH88" s="801"/>
      <c r="AI88" s="801"/>
      <c r="AJ88" s="801"/>
      <c r="AK88" s="801"/>
      <c r="AL88" s="801"/>
      <c r="AM88" s="801"/>
      <c r="AN88" s="801"/>
      <c r="AO88" s="802"/>
    </row>
    <row r="89" spans="2:41" ht="43.2" hidden="1" customHeight="1" x14ac:dyDescent="0.3">
      <c r="B89" s="1068"/>
      <c r="C89" s="759" t="s">
        <v>645</v>
      </c>
      <c r="D89" s="405" t="s">
        <v>1416</v>
      </c>
      <c r="E89" s="764" t="s">
        <v>649</v>
      </c>
      <c r="F89" s="765" t="s">
        <v>658</v>
      </c>
      <c r="G89" s="748">
        <v>31</v>
      </c>
      <c r="H89" s="40" t="s">
        <v>490</v>
      </c>
      <c r="I89" s="40" t="s">
        <v>491</v>
      </c>
      <c r="J89" s="798">
        <v>0</v>
      </c>
      <c r="K89" s="867">
        <v>0</v>
      </c>
      <c r="L89" s="84">
        <v>0</v>
      </c>
      <c r="M89" s="65">
        <v>0</v>
      </c>
      <c r="N89" s="65">
        <v>0</v>
      </c>
      <c r="O89" s="65">
        <v>0</v>
      </c>
      <c r="P89" s="65">
        <v>0</v>
      </c>
      <c r="Q89" s="33">
        <v>0</v>
      </c>
      <c r="R89" s="797"/>
      <c r="S89" s="798"/>
      <c r="T89" s="798"/>
      <c r="U89" s="798"/>
      <c r="V89" s="798"/>
      <c r="W89" s="798"/>
      <c r="X89" s="798"/>
      <c r="Y89" s="798"/>
      <c r="Z89" s="798"/>
      <c r="AA89" s="798"/>
      <c r="AB89" s="798"/>
      <c r="AC89" s="799"/>
      <c r="AD89" s="797"/>
      <c r="AE89" s="798"/>
      <c r="AF89" s="798"/>
      <c r="AG89" s="798"/>
      <c r="AH89" s="798"/>
      <c r="AI89" s="798"/>
      <c r="AJ89" s="798"/>
      <c r="AK89" s="798"/>
      <c r="AL89" s="798"/>
      <c r="AM89" s="798"/>
      <c r="AN89" s="798"/>
      <c r="AO89" s="799"/>
    </row>
    <row r="90" spans="2:41" s="47" customFormat="1" ht="14.4" hidden="1" customHeight="1" x14ac:dyDescent="0.3">
      <c r="B90" s="1068"/>
      <c r="C90" s="767" t="s">
        <v>647</v>
      </c>
      <c r="D90" s="768" t="s">
        <v>648</v>
      </c>
      <c r="E90" s="769" t="s">
        <v>649</v>
      </c>
      <c r="F90" s="770">
        <v>46305</v>
      </c>
      <c r="G90" s="139">
        <v>10</v>
      </c>
      <c r="H90" s="44" t="s">
        <v>490</v>
      </c>
      <c r="I90" s="44" t="s">
        <v>650</v>
      </c>
      <c r="J90" s="801">
        <v>0</v>
      </c>
      <c r="K90" s="868">
        <v>0</v>
      </c>
      <c r="L90" s="85"/>
      <c r="M90" s="66"/>
      <c r="N90" s="66"/>
      <c r="O90" s="66"/>
      <c r="P90" s="66"/>
      <c r="Q90" s="45"/>
      <c r="R90" s="800"/>
      <c r="S90" s="801"/>
      <c r="T90" s="801"/>
      <c r="U90" s="801"/>
      <c r="V90" s="801"/>
      <c r="W90" s="801"/>
      <c r="X90" s="801"/>
      <c r="Y90" s="801"/>
      <c r="Z90" s="801"/>
      <c r="AA90" s="801"/>
      <c r="AB90" s="801"/>
      <c r="AC90" s="802"/>
      <c r="AD90" s="800"/>
      <c r="AE90" s="801"/>
      <c r="AF90" s="801"/>
      <c r="AG90" s="801"/>
      <c r="AH90" s="801"/>
      <c r="AI90" s="801"/>
      <c r="AJ90" s="801"/>
      <c r="AK90" s="801"/>
      <c r="AL90" s="801"/>
      <c r="AM90" s="801"/>
      <c r="AN90" s="801"/>
      <c r="AO90" s="802"/>
    </row>
    <row r="91" spans="2:41" s="47" customFormat="1" ht="14.4" hidden="1" customHeight="1" x14ac:dyDescent="0.3">
      <c r="B91" s="1068"/>
      <c r="C91" s="767" t="s">
        <v>650</v>
      </c>
      <c r="D91" s="768" t="s">
        <v>651</v>
      </c>
      <c r="E91" s="769">
        <v>46305</v>
      </c>
      <c r="F91" s="770" t="s">
        <v>652</v>
      </c>
      <c r="G91" s="139">
        <v>10</v>
      </c>
      <c r="H91" s="44" t="s">
        <v>647</v>
      </c>
      <c r="I91" s="44" t="s">
        <v>653</v>
      </c>
      <c r="J91" s="801">
        <v>0</v>
      </c>
      <c r="K91" s="868">
        <v>0</v>
      </c>
      <c r="L91" s="85"/>
      <c r="M91" s="66"/>
      <c r="N91" s="66"/>
      <c r="O91" s="66"/>
      <c r="P91" s="66"/>
      <c r="Q91" s="45"/>
      <c r="R91" s="800"/>
      <c r="S91" s="801"/>
      <c r="T91" s="801"/>
      <c r="U91" s="801"/>
      <c r="V91" s="801"/>
      <c r="W91" s="801"/>
      <c r="X91" s="801"/>
      <c r="Y91" s="801"/>
      <c r="Z91" s="801"/>
      <c r="AA91" s="801"/>
      <c r="AB91" s="801"/>
      <c r="AC91" s="802"/>
      <c r="AD91" s="800"/>
      <c r="AE91" s="801"/>
      <c r="AF91" s="801"/>
      <c r="AG91" s="801"/>
      <c r="AH91" s="801"/>
      <c r="AI91" s="801"/>
      <c r="AJ91" s="801"/>
      <c r="AK91" s="801"/>
      <c r="AL91" s="801"/>
      <c r="AM91" s="801"/>
      <c r="AN91" s="801"/>
      <c r="AO91" s="802"/>
    </row>
    <row r="92" spans="2:41" s="47" customFormat="1" ht="14.4" hidden="1" customHeight="1" x14ac:dyDescent="0.3">
      <c r="B92" s="1068"/>
      <c r="C92" s="767" t="s">
        <v>653</v>
      </c>
      <c r="D92" s="768" t="s">
        <v>654</v>
      </c>
      <c r="E92" s="769" t="s">
        <v>652</v>
      </c>
      <c r="F92" s="770" t="s">
        <v>655</v>
      </c>
      <c r="G92" s="139">
        <v>5</v>
      </c>
      <c r="H92" s="44" t="s">
        <v>650</v>
      </c>
      <c r="I92" s="44" t="s">
        <v>656</v>
      </c>
      <c r="J92" s="801">
        <v>0</v>
      </c>
      <c r="K92" s="868">
        <v>0</v>
      </c>
      <c r="L92" s="85"/>
      <c r="M92" s="66"/>
      <c r="N92" s="66"/>
      <c r="O92" s="66"/>
      <c r="P92" s="66"/>
      <c r="Q92" s="45"/>
      <c r="R92" s="800"/>
      <c r="S92" s="801"/>
      <c r="T92" s="801"/>
      <c r="U92" s="801"/>
      <c r="V92" s="801"/>
      <c r="W92" s="801"/>
      <c r="X92" s="801"/>
      <c r="Y92" s="801"/>
      <c r="Z92" s="801"/>
      <c r="AA92" s="801"/>
      <c r="AB92" s="801"/>
      <c r="AC92" s="802"/>
      <c r="AD92" s="800"/>
      <c r="AE92" s="801"/>
      <c r="AF92" s="801"/>
      <c r="AG92" s="801"/>
      <c r="AH92" s="801"/>
      <c r="AI92" s="801"/>
      <c r="AJ92" s="801"/>
      <c r="AK92" s="801"/>
      <c r="AL92" s="801"/>
      <c r="AM92" s="801"/>
      <c r="AN92" s="801"/>
      <c r="AO92" s="802"/>
    </row>
    <row r="93" spans="2:41" s="47" customFormat="1" ht="14.4" hidden="1" customHeight="1" x14ac:dyDescent="0.3">
      <c r="B93" s="1068"/>
      <c r="C93" s="767" t="s">
        <v>656</v>
      </c>
      <c r="D93" s="768" t="s">
        <v>657</v>
      </c>
      <c r="E93" s="769">
        <v>46326</v>
      </c>
      <c r="F93" s="770" t="s">
        <v>658</v>
      </c>
      <c r="G93" s="139">
        <v>0</v>
      </c>
      <c r="H93" s="44" t="s">
        <v>653</v>
      </c>
      <c r="I93" s="44" t="s">
        <v>491</v>
      </c>
      <c r="J93" s="801">
        <v>0</v>
      </c>
      <c r="K93" s="868">
        <v>0</v>
      </c>
      <c r="L93" s="85"/>
      <c r="M93" s="66"/>
      <c r="N93" s="66"/>
      <c r="O93" s="66"/>
      <c r="P93" s="66"/>
      <c r="Q93" s="45"/>
      <c r="R93" s="800"/>
      <c r="S93" s="801"/>
      <c r="T93" s="801"/>
      <c r="U93" s="801"/>
      <c r="V93" s="801"/>
      <c r="W93" s="801"/>
      <c r="X93" s="801"/>
      <c r="Y93" s="801"/>
      <c r="Z93" s="801"/>
      <c r="AA93" s="801"/>
      <c r="AB93" s="801"/>
      <c r="AC93" s="802"/>
      <c r="AD93" s="800"/>
      <c r="AE93" s="801"/>
      <c r="AF93" s="801"/>
      <c r="AG93" s="801"/>
      <c r="AH93" s="801"/>
      <c r="AI93" s="801"/>
      <c r="AJ93" s="801"/>
      <c r="AK93" s="801"/>
      <c r="AL93" s="801"/>
      <c r="AM93" s="801"/>
      <c r="AN93" s="801"/>
      <c r="AO93" s="802"/>
    </row>
    <row r="94" spans="2:41" ht="43.2" hidden="1" customHeight="1" x14ac:dyDescent="0.3">
      <c r="B94" s="1068"/>
      <c r="C94" s="759" t="s">
        <v>35</v>
      </c>
      <c r="D94" s="405" t="s">
        <v>1417</v>
      </c>
      <c r="E94" s="764">
        <v>45992</v>
      </c>
      <c r="F94" s="765">
        <v>46096</v>
      </c>
      <c r="G94" s="748">
        <v>104</v>
      </c>
      <c r="H94" s="40" t="s">
        <v>490</v>
      </c>
      <c r="I94" s="40" t="s">
        <v>491</v>
      </c>
      <c r="J94" s="798">
        <v>144100000</v>
      </c>
      <c r="K94" s="867">
        <v>2200000</v>
      </c>
      <c r="L94" s="84">
        <v>0</v>
      </c>
      <c r="M94" s="65">
        <v>0</v>
      </c>
      <c r="N94" s="65">
        <v>0</v>
      </c>
      <c r="O94" s="65">
        <v>0</v>
      </c>
      <c r="P94" s="65">
        <v>0</v>
      </c>
      <c r="Q94" s="33">
        <v>1200000</v>
      </c>
      <c r="R94" s="797"/>
      <c r="S94" s="798"/>
      <c r="T94" s="798"/>
      <c r="U94" s="798"/>
      <c r="V94" s="798"/>
      <c r="W94" s="798"/>
      <c r="X94" s="798"/>
      <c r="Y94" s="798"/>
      <c r="Z94" s="798"/>
      <c r="AA94" s="798"/>
      <c r="AB94" s="798"/>
      <c r="AC94" s="799"/>
      <c r="AD94" s="797"/>
      <c r="AE94" s="798"/>
      <c r="AF94" s="798"/>
      <c r="AG94" s="798"/>
      <c r="AH94" s="798"/>
      <c r="AI94" s="798"/>
      <c r="AJ94" s="798"/>
      <c r="AK94" s="798"/>
      <c r="AL94" s="798"/>
      <c r="AM94" s="798"/>
      <c r="AN94" s="798"/>
      <c r="AO94" s="799"/>
    </row>
    <row r="95" spans="2:41" s="47" customFormat="1" ht="14.4" hidden="1" customHeight="1" x14ac:dyDescent="0.3">
      <c r="B95" s="1068"/>
      <c r="C95" s="767" t="s">
        <v>660</v>
      </c>
      <c r="D95" s="768" t="s">
        <v>661</v>
      </c>
      <c r="E95" s="769">
        <v>45992</v>
      </c>
      <c r="F95" s="770">
        <v>46022</v>
      </c>
      <c r="G95" s="139">
        <v>30</v>
      </c>
      <c r="H95" s="44" t="s">
        <v>490</v>
      </c>
      <c r="I95" s="44" t="s">
        <v>662</v>
      </c>
      <c r="J95" s="801">
        <v>0</v>
      </c>
      <c r="K95" s="868">
        <v>0</v>
      </c>
      <c r="L95" s="85">
        <v>0</v>
      </c>
      <c r="M95" s="66">
        <v>0</v>
      </c>
      <c r="N95" s="66">
        <v>0</v>
      </c>
      <c r="O95" s="66">
        <v>0</v>
      </c>
      <c r="P95" s="66">
        <v>0</v>
      </c>
      <c r="Q95" s="45">
        <v>0</v>
      </c>
      <c r="R95" s="800"/>
      <c r="S95" s="801"/>
      <c r="T95" s="801"/>
      <c r="U95" s="801"/>
      <c r="V95" s="801"/>
      <c r="W95" s="801"/>
      <c r="X95" s="801"/>
      <c r="Y95" s="801"/>
      <c r="Z95" s="801"/>
      <c r="AA95" s="801"/>
      <c r="AB95" s="801"/>
      <c r="AC95" s="802"/>
      <c r="AD95" s="800"/>
      <c r="AE95" s="801"/>
      <c r="AF95" s="801"/>
      <c r="AG95" s="801"/>
      <c r="AH95" s="801"/>
      <c r="AI95" s="801"/>
      <c r="AJ95" s="801"/>
      <c r="AK95" s="801"/>
      <c r="AL95" s="801"/>
      <c r="AM95" s="801"/>
      <c r="AN95" s="801"/>
      <c r="AO95" s="802"/>
    </row>
    <row r="96" spans="2:41" s="47" customFormat="1" ht="14.4" hidden="1" customHeight="1" x14ac:dyDescent="0.3">
      <c r="B96" s="1068"/>
      <c r="C96" s="767" t="s">
        <v>663</v>
      </c>
      <c r="D96" s="768" t="s">
        <v>664</v>
      </c>
      <c r="E96" s="769">
        <v>45992</v>
      </c>
      <c r="F96" s="770">
        <v>46022</v>
      </c>
      <c r="G96" s="139">
        <v>30</v>
      </c>
      <c r="H96" s="44" t="s">
        <v>490</v>
      </c>
      <c r="I96" s="44" t="s">
        <v>662</v>
      </c>
      <c r="J96" s="801">
        <v>0</v>
      </c>
      <c r="K96" s="868">
        <v>0</v>
      </c>
      <c r="L96" s="85">
        <v>0</v>
      </c>
      <c r="M96" s="66">
        <v>0</v>
      </c>
      <c r="N96" s="66">
        <v>0</v>
      </c>
      <c r="O96" s="66">
        <v>0</v>
      </c>
      <c r="P96" s="66">
        <v>0</v>
      </c>
      <c r="Q96" s="45">
        <v>0</v>
      </c>
      <c r="R96" s="800"/>
      <c r="S96" s="801"/>
      <c r="T96" s="801"/>
      <c r="U96" s="801"/>
      <c r="V96" s="801"/>
      <c r="W96" s="801"/>
      <c r="X96" s="801"/>
      <c r="Y96" s="801"/>
      <c r="Z96" s="801"/>
      <c r="AA96" s="801"/>
      <c r="AB96" s="801"/>
      <c r="AC96" s="802"/>
      <c r="AD96" s="800"/>
      <c r="AE96" s="801"/>
      <c r="AF96" s="801"/>
      <c r="AG96" s="801"/>
      <c r="AH96" s="801"/>
      <c r="AI96" s="801"/>
      <c r="AJ96" s="801"/>
      <c r="AK96" s="801"/>
      <c r="AL96" s="801"/>
      <c r="AM96" s="801"/>
      <c r="AN96" s="801"/>
      <c r="AO96" s="802"/>
    </row>
    <row r="97" spans="2:41" s="47" customFormat="1" ht="14.4" hidden="1" customHeight="1" x14ac:dyDescent="0.3">
      <c r="B97" s="1068"/>
      <c r="C97" s="767" t="s">
        <v>662</v>
      </c>
      <c r="D97" s="768" t="s">
        <v>665</v>
      </c>
      <c r="E97" s="769">
        <v>46037</v>
      </c>
      <c r="F97" s="770">
        <v>46068</v>
      </c>
      <c r="G97" s="139">
        <v>31</v>
      </c>
      <c r="H97" s="44" t="s">
        <v>663</v>
      </c>
      <c r="I97" s="44" t="s">
        <v>666</v>
      </c>
      <c r="J97" s="801">
        <v>0</v>
      </c>
      <c r="K97" s="868">
        <v>0</v>
      </c>
      <c r="L97" s="85">
        <v>0</v>
      </c>
      <c r="M97" s="66">
        <v>0</v>
      </c>
      <c r="N97" s="66">
        <v>0</v>
      </c>
      <c r="O97" s="66">
        <v>0</v>
      </c>
      <c r="P97" s="66">
        <v>0</v>
      </c>
      <c r="Q97" s="45">
        <v>0</v>
      </c>
      <c r="R97" s="800"/>
      <c r="S97" s="801"/>
      <c r="T97" s="801"/>
      <c r="U97" s="801"/>
      <c r="V97" s="801"/>
      <c r="W97" s="801"/>
      <c r="X97" s="801"/>
      <c r="Y97" s="801"/>
      <c r="Z97" s="801"/>
      <c r="AA97" s="801"/>
      <c r="AB97" s="801"/>
      <c r="AC97" s="802"/>
      <c r="AD97" s="800"/>
      <c r="AE97" s="801"/>
      <c r="AF97" s="801"/>
      <c r="AG97" s="801"/>
      <c r="AH97" s="801"/>
      <c r="AI97" s="801"/>
      <c r="AJ97" s="801"/>
      <c r="AK97" s="801"/>
      <c r="AL97" s="801"/>
      <c r="AM97" s="801"/>
      <c r="AN97" s="801"/>
      <c r="AO97" s="802"/>
    </row>
    <row r="98" spans="2:41" s="47" customFormat="1" ht="14.4" hidden="1" customHeight="1" x14ac:dyDescent="0.3">
      <c r="B98" s="1068"/>
      <c r="C98" s="767" t="s">
        <v>666</v>
      </c>
      <c r="D98" s="768" t="s">
        <v>667</v>
      </c>
      <c r="E98" s="769">
        <v>46068</v>
      </c>
      <c r="F98" s="770">
        <v>46096</v>
      </c>
      <c r="G98" s="139">
        <v>28</v>
      </c>
      <c r="H98" s="44" t="s">
        <v>662</v>
      </c>
      <c r="I98" s="44" t="s">
        <v>491</v>
      </c>
      <c r="J98" s="801">
        <v>0</v>
      </c>
      <c r="K98" s="868">
        <v>0</v>
      </c>
      <c r="L98" s="85">
        <v>0</v>
      </c>
      <c r="M98" s="66">
        <v>0</v>
      </c>
      <c r="N98" s="66">
        <v>0</v>
      </c>
      <c r="O98" s="66">
        <v>0</v>
      </c>
      <c r="P98" s="66">
        <v>0</v>
      </c>
      <c r="Q98" s="45">
        <v>0</v>
      </c>
      <c r="R98" s="800"/>
      <c r="S98" s="801"/>
      <c r="T98" s="801"/>
      <c r="U98" s="801"/>
      <c r="V98" s="801"/>
      <c r="W98" s="801"/>
      <c r="X98" s="801"/>
      <c r="Y98" s="801"/>
      <c r="Z98" s="801"/>
      <c r="AA98" s="801"/>
      <c r="AB98" s="801"/>
      <c r="AC98" s="802"/>
      <c r="AD98" s="800"/>
      <c r="AE98" s="801"/>
      <c r="AF98" s="801"/>
      <c r="AG98" s="801"/>
      <c r="AH98" s="801"/>
      <c r="AI98" s="801"/>
      <c r="AJ98" s="801"/>
      <c r="AK98" s="801"/>
      <c r="AL98" s="801"/>
      <c r="AM98" s="801"/>
      <c r="AN98" s="801"/>
      <c r="AO98" s="802"/>
    </row>
    <row r="99" spans="2:41" ht="28.95" hidden="1" customHeight="1" x14ac:dyDescent="0.3">
      <c r="B99" s="1068"/>
      <c r="C99" s="759" t="s">
        <v>37</v>
      </c>
      <c r="D99" s="405" t="s">
        <v>1418</v>
      </c>
      <c r="E99" s="764">
        <v>46028</v>
      </c>
      <c r="F99" s="765">
        <v>46234</v>
      </c>
      <c r="G99" s="748">
        <v>206</v>
      </c>
      <c r="H99" s="40" t="s">
        <v>490</v>
      </c>
      <c r="I99" s="40" t="s">
        <v>491</v>
      </c>
      <c r="J99" s="795">
        <v>2183333.1150000002</v>
      </c>
      <c r="K99" s="866">
        <v>33333.33</v>
      </c>
      <c r="L99" s="87">
        <v>0</v>
      </c>
      <c r="M99" s="68">
        <v>0</v>
      </c>
      <c r="N99" s="68">
        <v>0</v>
      </c>
      <c r="O99" s="68">
        <v>0</v>
      </c>
      <c r="P99" s="68">
        <v>0</v>
      </c>
      <c r="Q99" s="569">
        <v>0</v>
      </c>
      <c r="R99" s="797"/>
      <c r="S99" s="798"/>
      <c r="T99" s="798"/>
      <c r="U99" s="798"/>
      <c r="V99" s="798"/>
      <c r="W99" s="798"/>
      <c r="X99" s="798"/>
      <c r="Y99" s="798"/>
      <c r="Z99" s="798"/>
      <c r="AA99" s="798"/>
      <c r="AB99" s="798"/>
      <c r="AC99" s="799"/>
      <c r="AD99" s="797"/>
      <c r="AE99" s="798"/>
      <c r="AF99" s="798"/>
      <c r="AG99" s="798"/>
      <c r="AH99" s="798"/>
      <c r="AI99" s="798"/>
      <c r="AJ99" s="798"/>
      <c r="AK99" s="798"/>
      <c r="AL99" s="798"/>
      <c r="AM99" s="798"/>
      <c r="AN99" s="798"/>
      <c r="AO99" s="799"/>
    </row>
    <row r="100" spans="2:41" s="47" customFormat="1" ht="14.4" hidden="1" customHeight="1" x14ac:dyDescent="0.3">
      <c r="B100" s="1068"/>
      <c r="C100" s="767" t="s">
        <v>668</v>
      </c>
      <c r="D100" s="768" t="s">
        <v>669</v>
      </c>
      <c r="E100" s="769">
        <v>46028</v>
      </c>
      <c r="F100" s="770">
        <v>46053</v>
      </c>
      <c r="G100" s="139">
        <v>25</v>
      </c>
      <c r="H100" s="44" t="s">
        <v>490</v>
      </c>
      <c r="I100" s="44" t="s">
        <v>670</v>
      </c>
      <c r="J100" s="801">
        <v>2183333.1150000002</v>
      </c>
      <c r="K100" s="868">
        <v>33333.33</v>
      </c>
      <c r="L100" s="85"/>
      <c r="M100" s="66"/>
      <c r="N100" s="66"/>
      <c r="O100" s="66"/>
      <c r="P100" s="66"/>
      <c r="Q100" s="45"/>
      <c r="R100" s="800"/>
      <c r="S100" s="801"/>
      <c r="T100" s="801"/>
      <c r="U100" s="801"/>
      <c r="V100" s="801"/>
      <c r="W100" s="801"/>
      <c r="X100" s="801"/>
      <c r="Y100" s="801"/>
      <c r="Z100" s="801"/>
      <c r="AA100" s="801"/>
      <c r="AB100" s="801"/>
      <c r="AC100" s="802"/>
      <c r="AD100" s="800"/>
      <c r="AE100" s="801"/>
      <c r="AF100" s="801"/>
      <c r="AG100" s="801"/>
      <c r="AH100" s="801"/>
      <c r="AI100" s="801"/>
      <c r="AJ100" s="801"/>
      <c r="AK100" s="801"/>
      <c r="AL100" s="801"/>
      <c r="AM100" s="801"/>
      <c r="AN100" s="801"/>
      <c r="AO100" s="802"/>
    </row>
    <row r="101" spans="2:41" s="47" customFormat="1" ht="14.4" hidden="1" customHeight="1" x14ac:dyDescent="0.3">
      <c r="B101" s="1068"/>
      <c r="C101" s="767" t="s">
        <v>670</v>
      </c>
      <c r="D101" s="768" t="s">
        <v>671</v>
      </c>
      <c r="E101" s="769">
        <v>46054</v>
      </c>
      <c r="F101" s="770">
        <v>46203</v>
      </c>
      <c r="G101" s="139">
        <v>149</v>
      </c>
      <c r="H101" s="44" t="s">
        <v>668</v>
      </c>
      <c r="I101" s="44" t="s">
        <v>672</v>
      </c>
      <c r="J101" s="801">
        <v>0</v>
      </c>
      <c r="K101" s="868">
        <v>0</v>
      </c>
      <c r="L101" s="85"/>
      <c r="M101" s="66"/>
      <c r="N101" s="66"/>
      <c r="O101" s="66"/>
      <c r="P101" s="66"/>
      <c r="Q101" s="45"/>
      <c r="R101" s="800"/>
      <c r="S101" s="801"/>
      <c r="T101" s="801"/>
      <c r="U101" s="801"/>
      <c r="V101" s="801"/>
      <c r="W101" s="801"/>
      <c r="X101" s="801"/>
      <c r="Y101" s="801"/>
      <c r="Z101" s="801"/>
      <c r="AA101" s="801"/>
      <c r="AB101" s="801"/>
      <c r="AC101" s="802"/>
      <c r="AD101" s="800"/>
      <c r="AE101" s="801"/>
      <c r="AF101" s="801"/>
      <c r="AG101" s="801"/>
      <c r="AH101" s="801"/>
      <c r="AI101" s="801"/>
      <c r="AJ101" s="801"/>
      <c r="AK101" s="801"/>
      <c r="AL101" s="801"/>
      <c r="AM101" s="801"/>
      <c r="AN101" s="801"/>
      <c r="AO101" s="802"/>
    </row>
    <row r="102" spans="2:41" s="47" customFormat="1" ht="14.4" hidden="1" customHeight="1" x14ac:dyDescent="0.3">
      <c r="B102" s="1068"/>
      <c r="C102" s="767" t="s">
        <v>672</v>
      </c>
      <c r="D102" s="768" t="s">
        <v>673</v>
      </c>
      <c r="E102" s="769">
        <v>46204</v>
      </c>
      <c r="F102" s="770">
        <v>46234</v>
      </c>
      <c r="G102" s="139">
        <v>30</v>
      </c>
      <c r="H102" s="44" t="s">
        <v>670</v>
      </c>
      <c r="I102" s="44" t="s">
        <v>491</v>
      </c>
      <c r="J102" s="801">
        <v>0</v>
      </c>
      <c r="K102" s="868">
        <v>0</v>
      </c>
      <c r="L102" s="85"/>
      <c r="M102" s="66"/>
      <c r="N102" s="66"/>
      <c r="O102" s="66"/>
      <c r="P102" s="66"/>
      <c r="Q102" s="45"/>
      <c r="R102" s="800"/>
      <c r="S102" s="801"/>
      <c r="T102" s="801"/>
      <c r="U102" s="801"/>
      <c r="V102" s="801"/>
      <c r="W102" s="801"/>
      <c r="X102" s="801"/>
      <c r="Y102" s="801"/>
      <c r="Z102" s="801"/>
      <c r="AA102" s="801"/>
      <c r="AB102" s="801"/>
      <c r="AC102" s="802"/>
      <c r="AD102" s="800"/>
      <c r="AE102" s="801"/>
      <c r="AF102" s="801"/>
      <c r="AG102" s="801"/>
      <c r="AH102" s="801"/>
      <c r="AI102" s="801"/>
      <c r="AJ102" s="801"/>
      <c r="AK102" s="801"/>
      <c r="AL102" s="801"/>
      <c r="AM102" s="801"/>
      <c r="AN102" s="801"/>
      <c r="AO102" s="802"/>
    </row>
    <row r="103" spans="2:41" ht="57.6" x14ac:dyDescent="0.3">
      <c r="B103" s="1068"/>
      <c r="C103" s="759" t="s">
        <v>45</v>
      </c>
      <c r="D103" s="763" t="s">
        <v>1457</v>
      </c>
      <c r="E103" s="761">
        <v>46027</v>
      </c>
      <c r="F103" s="762">
        <v>46645</v>
      </c>
      <c r="G103" s="708">
        <v>618</v>
      </c>
      <c r="H103" s="39" t="s">
        <v>490</v>
      </c>
      <c r="I103" s="39" t="s">
        <v>491</v>
      </c>
      <c r="J103" s="795">
        <v>8869166.8849999998</v>
      </c>
      <c r="K103" s="866">
        <v>135407.12801526717</v>
      </c>
      <c r="L103" s="83">
        <v>0</v>
      </c>
      <c r="M103" s="64">
        <v>0</v>
      </c>
      <c r="N103" s="64">
        <v>0</v>
      </c>
      <c r="O103" s="64">
        <v>0</v>
      </c>
      <c r="P103" s="64">
        <v>13740.46</v>
      </c>
      <c r="Q103" s="32">
        <v>0</v>
      </c>
      <c r="R103" s="745"/>
      <c r="S103" s="746"/>
      <c r="T103" s="746"/>
      <c r="U103" s="746"/>
      <c r="V103" s="746"/>
      <c r="W103" s="746"/>
      <c r="X103" s="746"/>
      <c r="Y103" s="746"/>
      <c r="Z103" s="746"/>
      <c r="AA103" s="746"/>
      <c r="AB103" s="746"/>
      <c r="AC103" s="812"/>
      <c r="AD103" s="745"/>
      <c r="AE103" s="746"/>
      <c r="AF103" s="746"/>
      <c r="AG103" s="746"/>
      <c r="AH103" s="746"/>
      <c r="AI103" s="746"/>
      <c r="AJ103" s="746"/>
      <c r="AK103" s="746"/>
      <c r="AL103" s="746"/>
      <c r="AM103" s="795"/>
      <c r="AN103" s="795"/>
      <c r="AO103" s="796"/>
    </row>
    <row r="104" spans="2:41" ht="57.6" hidden="1" customHeight="1" x14ac:dyDescent="0.3">
      <c r="B104" s="1068"/>
      <c r="C104" s="759" t="s">
        <v>674</v>
      </c>
      <c r="D104" s="405" t="s">
        <v>1419</v>
      </c>
      <c r="E104" s="764">
        <v>46027</v>
      </c>
      <c r="F104" s="765" t="s">
        <v>683</v>
      </c>
      <c r="G104" s="748">
        <v>145</v>
      </c>
      <c r="H104" s="40" t="s">
        <v>490</v>
      </c>
      <c r="I104" s="40" t="s">
        <v>676</v>
      </c>
      <c r="J104" s="795">
        <v>900000</v>
      </c>
      <c r="K104" s="866">
        <v>13740.458015267175</v>
      </c>
      <c r="L104" s="87">
        <v>0</v>
      </c>
      <c r="M104" s="68">
        <v>0</v>
      </c>
      <c r="N104" s="68">
        <v>0</v>
      </c>
      <c r="O104" s="68">
        <v>0</v>
      </c>
      <c r="P104" s="68">
        <v>13740.46</v>
      </c>
      <c r="Q104" s="569">
        <v>0</v>
      </c>
      <c r="R104" s="797"/>
      <c r="S104" s="798"/>
      <c r="T104" s="798"/>
      <c r="U104" s="798"/>
      <c r="V104" s="798"/>
      <c r="W104" s="798"/>
      <c r="X104" s="798"/>
      <c r="Y104" s="798"/>
      <c r="Z104" s="798"/>
      <c r="AA104" s="798"/>
      <c r="AB104" s="798"/>
      <c r="AC104" s="799"/>
      <c r="AD104" s="797"/>
      <c r="AE104" s="798"/>
      <c r="AF104" s="798"/>
      <c r="AG104" s="798"/>
      <c r="AH104" s="798"/>
      <c r="AI104" s="798"/>
      <c r="AJ104" s="798"/>
      <c r="AK104" s="798"/>
      <c r="AL104" s="798"/>
      <c r="AM104" s="798"/>
      <c r="AN104" s="798"/>
      <c r="AO104" s="799"/>
    </row>
    <row r="105" spans="2:41" s="47" customFormat="1" ht="28.95" hidden="1" customHeight="1" x14ac:dyDescent="0.3">
      <c r="B105" s="1068"/>
      <c r="C105" s="767" t="s">
        <v>677</v>
      </c>
      <c r="D105" s="779" t="s">
        <v>678</v>
      </c>
      <c r="E105" s="769">
        <v>46027</v>
      </c>
      <c r="F105" s="770">
        <v>46031</v>
      </c>
      <c r="G105" s="139">
        <v>4</v>
      </c>
      <c r="H105" s="44" t="s">
        <v>490</v>
      </c>
      <c r="I105" s="44" t="s">
        <v>679</v>
      </c>
      <c r="J105" s="801">
        <v>900000</v>
      </c>
      <c r="K105" s="868">
        <v>13740.458015267175</v>
      </c>
      <c r="L105" s="85"/>
      <c r="M105" s="66"/>
      <c r="N105" s="66"/>
      <c r="O105" s="66"/>
      <c r="P105" s="66">
        <v>13740.46</v>
      </c>
      <c r="Q105" s="45"/>
      <c r="R105" s="800"/>
      <c r="S105" s="801"/>
      <c r="T105" s="801"/>
      <c r="U105" s="801"/>
      <c r="V105" s="801"/>
      <c r="W105" s="801"/>
      <c r="X105" s="801"/>
      <c r="Y105" s="801"/>
      <c r="Z105" s="801"/>
      <c r="AA105" s="801"/>
      <c r="AB105" s="801"/>
      <c r="AC105" s="802"/>
      <c r="AD105" s="800"/>
      <c r="AE105" s="801"/>
      <c r="AF105" s="801"/>
      <c r="AG105" s="801"/>
      <c r="AH105" s="801"/>
      <c r="AI105" s="801"/>
      <c r="AJ105" s="801"/>
      <c r="AK105" s="801"/>
      <c r="AL105" s="801"/>
      <c r="AM105" s="801"/>
      <c r="AN105" s="801"/>
      <c r="AO105" s="802"/>
    </row>
    <row r="106" spans="2:41" s="47" customFormat="1" ht="28.95" hidden="1" customHeight="1" x14ac:dyDescent="0.3">
      <c r="B106" s="1068"/>
      <c r="C106" s="767" t="s">
        <v>679</v>
      </c>
      <c r="D106" s="780" t="s">
        <v>680</v>
      </c>
      <c r="E106" s="769">
        <v>46032</v>
      </c>
      <c r="F106" s="770">
        <v>46142</v>
      </c>
      <c r="G106" s="139">
        <v>110</v>
      </c>
      <c r="H106" s="44" t="s">
        <v>677</v>
      </c>
      <c r="I106" s="44" t="s">
        <v>681</v>
      </c>
      <c r="J106" s="801">
        <v>0</v>
      </c>
      <c r="K106" s="868">
        <v>0</v>
      </c>
      <c r="L106" s="85"/>
      <c r="M106" s="66"/>
      <c r="N106" s="66"/>
      <c r="O106" s="66"/>
      <c r="P106" s="66"/>
      <c r="Q106" s="45"/>
      <c r="R106" s="800"/>
      <c r="S106" s="801"/>
      <c r="T106" s="801"/>
      <c r="U106" s="801"/>
      <c r="V106" s="801"/>
      <c r="W106" s="801"/>
      <c r="X106" s="801"/>
      <c r="Y106" s="801"/>
      <c r="Z106" s="801"/>
      <c r="AA106" s="801"/>
      <c r="AB106" s="801"/>
      <c r="AC106" s="802"/>
      <c r="AD106" s="800"/>
      <c r="AE106" s="801"/>
      <c r="AF106" s="801"/>
      <c r="AG106" s="801"/>
      <c r="AH106" s="801"/>
      <c r="AI106" s="801"/>
      <c r="AJ106" s="801"/>
      <c r="AK106" s="801"/>
      <c r="AL106" s="801"/>
      <c r="AM106" s="801"/>
      <c r="AN106" s="801"/>
      <c r="AO106" s="802"/>
    </row>
    <row r="107" spans="2:41" s="47" customFormat="1" ht="28.95" hidden="1" customHeight="1" x14ac:dyDescent="0.3">
      <c r="B107" s="1068"/>
      <c r="C107" s="767" t="s">
        <v>681</v>
      </c>
      <c r="D107" s="780" t="s">
        <v>682</v>
      </c>
      <c r="E107" s="769">
        <v>46142</v>
      </c>
      <c r="F107" s="770" t="s">
        <v>683</v>
      </c>
      <c r="G107" s="139">
        <v>30</v>
      </c>
      <c r="H107" s="44" t="s">
        <v>679</v>
      </c>
      <c r="I107" s="44" t="s">
        <v>684</v>
      </c>
      <c r="J107" s="801">
        <v>0</v>
      </c>
      <c r="K107" s="868">
        <v>0</v>
      </c>
      <c r="L107" s="85"/>
      <c r="M107" s="66"/>
      <c r="N107" s="66"/>
      <c r="O107" s="66"/>
      <c r="P107" s="66"/>
      <c r="Q107" s="45"/>
      <c r="R107" s="800"/>
      <c r="S107" s="801"/>
      <c r="T107" s="801"/>
      <c r="U107" s="801"/>
      <c r="V107" s="801"/>
      <c r="W107" s="801"/>
      <c r="X107" s="801"/>
      <c r="Y107" s="801"/>
      <c r="Z107" s="801"/>
      <c r="AA107" s="801"/>
      <c r="AB107" s="801"/>
      <c r="AC107" s="802"/>
      <c r="AD107" s="800"/>
      <c r="AE107" s="801"/>
      <c r="AF107" s="801"/>
      <c r="AG107" s="801"/>
      <c r="AH107" s="801"/>
      <c r="AI107" s="801"/>
      <c r="AJ107" s="801"/>
      <c r="AK107" s="801"/>
      <c r="AL107" s="801"/>
      <c r="AM107" s="801"/>
      <c r="AN107" s="801"/>
      <c r="AO107" s="802"/>
    </row>
    <row r="108" spans="2:41" ht="57.6" hidden="1" customHeight="1" x14ac:dyDescent="0.3">
      <c r="B108" s="1068"/>
      <c r="C108" s="759" t="s">
        <v>685</v>
      </c>
      <c r="D108" s="405" t="s">
        <v>1420</v>
      </c>
      <c r="E108" s="764">
        <v>46178</v>
      </c>
      <c r="F108" s="765">
        <v>46398</v>
      </c>
      <c r="G108" s="748">
        <v>220</v>
      </c>
      <c r="H108" s="40" t="s">
        <v>674</v>
      </c>
      <c r="I108" s="40" t="s">
        <v>687</v>
      </c>
      <c r="J108" s="795">
        <v>2729166.8849999998</v>
      </c>
      <c r="K108" s="866">
        <v>41666.67</v>
      </c>
      <c r="L108" s="87">
        <v>0</v>
      </c>
      <c r="M108" s="68">
        <v>0</v>
      </c>
      <c r="N108" s="68">
        <v>0</v>
      </c>
      <c r="O108" s="68">
        <v>0</v>
      </c>
      <c r="P108" s="68">
        <v>0</v>
      </c>
      <c r="Q108" s="569">
        <v>0</v>
      </c>
      <c r="R108" s="797"/>
      <c r="S108" s="798"/>
      <c r="T108" s="798"/>
      <c r="U108" s="798"/>
      <c r="V108" s="798"/>
      <c r="W108" s="798"/>
      <c r="X108" s="798"/>
      <c r="Y108" s="798"/>
      <c r="Z108" s="798"/>
      <c r="AA108" s="798"/>
      <c r="AB108" s="798"/>
      <c r="AC108" s="799"/>
      <c r="AD108" s="797"/>
      <c r="AE108" s="798"/>
      <c r="AF108" s="798"/>
      <c r="AG108" s="798"/>
      <c r="AH108" s="798"/>
      <c r="AI108" s="798"/>
      <c r="AJ108" s="798"/>
      <c r="AK108" s="798"/>
      <c r="AL108" s="798"/>
      <c r="AM108" s="798"/>
      <c r="AN108" s="798"/>
      <c r="AO108" s="799"/>
    </row>
    <row r="109" spans="2:41" s="47" customFormat="1" ht="28.95" hidden="1" customHeight="1" x14ac:dyDescent="0.3">
      <c r="B109" s="1068"/>
      <c r="C109" s="767" t="s">
        <v>684</v>
      </c>
      <c r="D109" s="780" t="s">
        <v>688</v>
      </c>
      <c r="E109" s="769">
        <v>46178</v>
      </c>
      <c r="F109" s="770">
        <v>46208</v>
      </c>
      <c r="G109" s="139">
        <v>30</v>
      </c>
      <c r="H109" s="44" t="s">
        <v>679</v>
      </c>
      <c r="I109" s="44" t="s">
        <v>689</v>
      </c>
      <c r="J109" s="801">
        <v>2729166.8849999998</v>
      </c>
      <c r="K109" s="868">
        <v>41666.67</v>
      </c>
      <c r="L109" s="85"/>
      <c r="M109" s="66"/>
      <c r="N109" s="66"/>
      <c r="O109" s="66"/>
      <c r="P109" s="66"/>
      <c r="Q109" s="45"/>
      <c r="R109" s="800"/>
      <c r="S109" s="801"/>
      <c r="T109" s="801"/>
      <c r="U109" s="801"/>
      <c r="V109" s="801"/>
      <c r="W109" s="801"/>
      <c r="X109" s="801"/>
      <c r="Y109" s="801"/>
      <c r="Z109" s="801"/>
      <c r="AA109" s="801"/>
      <c r="AB109" s="801"/>
      <c r="AC109" s="802"/>
      <c r="AD109" s="800"/>
      <c r="AE109" s="801"/>
      <c r="AF109" s="801"/>
      <c r="AG109" s="801"/>
      <c r="AH109" s="801"/>
      <c r="AI109" s="801"/>
      <c r="AJ109" s="801"/>
      <c r="AK109" s="801"/>
      <c r="AL109" s="801"/>
      <c r="AM109" s="801"/>
      <c r="AN109" s="801"/>
      <c r="AO109" s="802"/>
    </row>
    <row r="110" spans="2:41" s="47" customFormat="1" ht="28.95" hidden="1" customHeight="1" x14ac:dyDescent="0.3">
      <c r="B110" s="1068"/>
      <c r="C110" s="767" t="s">
        <v>689</v>
      </c>
      <c r="D110" s="780" t="s">
        <v>690</v>
      </c>
      <c r="E110" s="769">
        <v>46218</v>
      </c>
      <c r="F110" s="770">
        <v>46310</v>
      </c>
      <c r="G110" s="139">
        <v>92</v>
      </c>
      <c r="H110" s="44" t="s">
        <v>684</v>
      </c>
      <c r="I110" s="44" t="s">
        <v>691</v>
      </c>
      <c r="J110" s="801">
        <v>0</v>
      </c>
      <c r="K110" s="868">
        <v>0</v>
      </c>
      <c r="L110" s="85"/>
      <c r="M110" s="66"/>
      <c r="N110" s="66"/>
      <c r="O110" s="66"/>
      <c r="P110" s="66"/>
      <c r="Q110" s="45"/>
      <c r="R110" s="800"/>
      <c r="S110" s="801"/>
      <c r="T110" s="801"/>
      <c r="U110" s="801"/>
      <c r="V110" s="801"/>
      <c r="W110" s="801"/>
      <c r="X110" s="801"/>
      <c r="Y110" s="801"/>
      <c r="Z110" s="801"/>
      <c r="AA110" s="801"/>
      <c r="AB110" s="801"/>
      <c r="AC110" s="802"/>
      <c r="AD110" s="800"/>
      <c r="AE110" s="801"/>
      <c r="AF110" s="801"/>
      <c r="AG110" s="801"/>
      <c r="AH110" s="801"/>
      <c r="AI110" s="801"/>
      <c r="AJ110" s="801"/>
      <c r="AK110" s="801"/>
      <c r="AL110" s="801"/>
      <c r="AM110" s="801"/>
      <c r="AN110" s="801"/>
      <c r="AO110" s="802"/>
    </row>
    <row r="111" spans="2:41" s="47" customFormat="1" ht="28.95" hidden="1" customHeight="1" x14ac:dyDescent="0.3">
      <c r="B111" s="1068"/>
      <c r="C111" s="767" t="s">
        <v>691</v>
      </c>
      <c r="D111" s="780" t="s">
        <v>692</v>
      </c>
      <c r="E111" s="769">
        <v>46310</v>
      </c>
      <c r="F111" s="770">
        <v>46398</v>
      </c>
      <c r="G111" s="139">
        <v>88</v>
      </c>
      <c r="H111" s="44" t="s">
        <v>684</v>
      </c>
      <c r="I111" s="44" t="s">
        <v>693</v>
      </c>
      <c r="J111" s="801">
        <v>0</v>
      </c>
      <c r="K111" s="868">
        <v>0</v>
      </c>
      <c r="L111" s="85"/>
      <c r="M111" s="66"/>
      <c r="N111" s="66"/>
      <c r="O111" s="66"/>
      <c r="P111" s="66"/>
      <c r="Q111" s="45"/>
      <c r="R111" s="800"/>
      <c r="S111" s="801"/>
      <c r="T111" s="801"/>
      <c r="U111" s="801"/>
      <c r="V111" s="801"/>
      <c r="W111" s="801"/>
      <c r="X111" s="801"/>
      <c r="Y111" s="801"/>
      <c r="Z111" s="801"/>
      <c r="AA111" s="801"/>
      <c r="AB111" s="801"/>
      <c r="AC111" s="802"/>
      <c r="AD111" s="800"/>
      <c r="AE111" s="801"/>
      <c r="AF111" s="801"/>
      <c r="AG111" s="801"/>
      <c r="AH111" s="801"/>
      <c r="AI111" s="801"/>
      <c r="AJ111" s="801"/>
      <c r="AK111" s="801"/>
      <c r="AL111" s="801"/>
      <c r="AM111" s="801"/>
      <c r="AN111" s="801"/>
      <c r="AO111" s="802"/>
    </row>
    <row r="112" spans="2:41" ht="57.6" hidden="1" customHeight="1" x14ac:dyDescent="0.3">
      <c r="B112" s="1068"/>
      <c r="C112" s="759" t="s">
        <v>687</v>
      </c>
      <c r="D112" s="405" t="s">
        <v>1421</v>
      </c>
      <c r="E112" s="764">
        <v>46398</v>
      </c>
      <c r="F112" s="765" t="s">
        <v>698</v>
      </c>
      <c r="G112" s="748">
        <v>79</v>
      </c>
      <c r="H112" s="40" t="s">
        <v>685</v>
      </c>
      <c r="I112" s="40" t="s">
        <v>699</v>
      </c>
      <c r="J112" s="798">
        <v>0</v>
      </c>
      <c r="K112" s="867">
        <v>0</v>
      </c>
      <c r="L112" s="84">
        <v>0</v>
      </c>
      <c r="M112" s="65">
        <v>0</v>
      </c>
      <c r="N112" s="65">
        <v>0</v>
      </c>
      <c r="O112" s="65">
        <v>0</v>
      </c>
      <c r="P112" s="65">
        <v>0</v>
      </c>
      <c r="Q112" s="33">
        <v>0</v>
      </c>
      <c r="R112" s="797"/>
      <c r="S112" s="798"/>
      <c r="T112" s="798"/>
      <c r="U112" s="798"/>
      <c r="V112" s="798"/>
      <c r="W112" s="798"/>
      <c r="X112" s="798"/>
      <c r="Y112" s="798"/>
      <c r="Z112" s="798"/>
      <c r="AA112" s="798"/>
      <c r="AB112" s="798"/>
      <c r="AC112" s="799"/>
      <c r="AD112" s="797"/>
      <c r="AE112" s="798"/>
      <c r="AF112" s="798"/>
      <c r="AG112" s="798"/>
      <c r="AH112" s="798"/>
      <c r="AI112" s="798"/>
      <c r="AJ112" s="798"/>
      <c r="AK112" s="798"/>
      <c r="AL112" s="798"/>
      <c r="AM112" s="798"/>
      <c r="AN112" s="798"/>
      <c r="AO112" s="799"/>
    </row>
    <row r="113" spans="2:41" s="47" customFormat="1" ht="28.95" hidden="1" customHeight="1" x14ac:dyDescent="0.3">
      <c r="B113" s="1068"/>
      <c r="C113" s="767" t="s">
        <v>693</v>
      </c>
      <c r="D113" s="780" t="s">
        <v>695</v>
      </c>
      <c r="E113" s="769">
        <v>46398</v>
      </c>
      <c r="F113" s="770">
        <v>46418</v>
      </c>
      <c r="G113" s="139">
        <v>20</v>
      </c>
      <c r="H113" s="44" t="s">
        <v>691</v>
      </c>
      <c r="I113" s="44" t="s">
        <v>696</v>
      </c>
      <c r="J113" s="801">
        <v>0</v>
      </c>
      <c r="K113" s="868">
        <v>0</v>
      </c>
      <c r="L113" s="85">
        <v>0</v>
      </c>
      <c r="M113" s="66">
        <v>0</v>
      </c>
      <c r="N113" s="66">
        <v>0</v>
      </c>
      <c r="O113" s="66">
        <v>0</v>
      </c>
      <c r="P113" s="66">
        <v>0</v>
      </c>
      <c r="Q113" s="45">
        <v>0</v>
      </c>
      <c r="R113" s="800"/>
      <c r="S113" s="801"/>
      <c r="T113" s="801"/>
      <c r="U113" s="801"/>
      <c r="V113" s="801"/>
      <c r="W113" s="801"/>
      <c r="X113" s="801"/>
      <c r="Y113" s="801"/>
      <c r="Z113" s="801"/>
      <c r="AA113" s="801"/>
      <c r="AB113" s="801"/>
      <c r="AC113" s="802"/>
      <c r="AD113" s="800"/>
      <c r="AE113" s="801"/>
      <c r="AF113" s="801"/>
      <c r="AG113" s="801"/>
      <c r="AH113" s="801"/>
      <c r="AI113" s="801"/>
      <c r="AJ113" s="801"/>
      <c r="AK113" s="801"/>
      <c r="AL113" s="801"/>
      <c r="AM113" s="801"/>
      <c r="AN113" s="801"/>
      <c r="AO113" s="802"/>
    </row>
    <row r="114" spans="2:41" s="47" customFormat="1" ht="28.95" hidden="1" customHeight="1" x14ac:dyDescent="0.3">
      <c r="B114" s="1068"/>
      <c r="C114" s="767" t="s">
        <v>696</v>
      </c>
      <c r="D114" s="780" t="s">
        <v>697</v>
      </c>
      <c r="E114" s="769">
        <v>46419</v>
      </c>
      <c r="F114" s="770" t="s">
        <v>698</v>
      </c>
      <c r="G114" s="139">
        <v>58</v>
      </c>
      <c r="H114" s="44" t="s">
        <v>693</v>
      </c>
      <c r="I114" s="44" t="s">
        <v>701</v>
      </c>
      <c r="J114" s="801">
        <v>0</v>
      </c>
      <c r="K114" s="868">
        <v>0</v>
      </c>
      <c r="L114" s="85">
        <v>0</v>
      </c>
      <c r="M114" s="66">
        <v>0</v>
      </c>
      <c r="N114" s="66">
        <v>0</v>
      </c>
      <c r="O114" s="66">
        <v>0</v>
      </c>
      <c r="P114" s="66">
        <v>0</v>
      </c>
      <c r="Q114" s="45">
        <v>0</v>
      </c>
      <c r="R114" s="800"/>
      <c r="S114" s="801"/>
      <c r="T114" s="801"/>
      <c r="U114" s="801"/>
      <c r="V114" s="801"/>
      <c r="W114" s="801"/>
      <c r="X114" s="801"/>
      <c r="Y114" s="801"/>
      <c r="Z114" s="801"/>
      <c r="AA114" s="801"/>
      <c r="AB114" s="801"/>
      <c r="AC114" s="802"/>
      <c r="AD114" s="800"/>
      <c r="AE114" s="801"/>
      <c r="AF114" s="801"/>
      <c r="AG114" s="801"/>
      <c r="AH114" s="801"/>
      <c r="AI114" s="801"/>
      <c r="AJ114" s="801"/>
      <c r="AK114" s="801"/>
      <c r="AL114" s="801"/>
      <c r="AM114" s="801"/>
      <c r="AN114" s="801"/>
      <c r="AO114" s="802"/>
    </row>
    <row r="115" spans="2:41" ht="43.2" hidden="1" customHeight="1" x14ac:dyDescent="0.3">
      <c r="B115" s="1068"/>
      <c r="C115" s="759" t="s">
        <v>699</v>
      </c>
      <c r="D115" s="405" t="s">
        <v>1422</v>
      </c>
      <c r="E115" s="764">
        <v>46569</v>
      </c>
      <c r="F115" s="765">
        <v>46645</v>
      </c>
      <c r="G115" s="748">
        <v>76</v>
      </c>
      <c r="H115" s="40" t="s">
        <v>685</v>
      </c>
      <c r="I115" s="40" t="s">
        <v>491</v>
      </c>
      <c r="J115" s="798">
        <v>0</v>
      </c>
      <c r="K115" s="867">
        <v>0</v>
      </c>
      <c r="L115" s="84">
        <v>0</v>
      </c>
      <c r="M115" s="65">
        <v>0</v>
      </c>
      <c r="N115" s="65">
        <v>0</v>
      </c>
      <c r="O115" s="65">
        <v>0</v>
      </c>
      <c r="P115" s="65">
        <v>0</v>
      </c>
      <c r="Q115" s="33">
        <v>0</v>
      </c>
      <c r="R115" s="797"/>
      <c r="S115" s="798"/>
      <c r="T115" s="798"/>
      <c r="U115" s="798"/>
      <c r="V115" s="798"/>
      <c r="W115" s="798"/>
      <c r="X115" s="798"/>
      <c r="Y115" s="798"/>
      <c r="Z115" s="798"/>
      <c r="AA115" s="798"/>
      <c r="AB115" s="798"/>
      <c r="AC115" s="799"/>
      <c r="AD115" s="797"/>
      <c r="AE115" s="798"/>
      <c r="AF115" s="798"/>
      <c r="AG115" s="798"/>
      <c r="AH115" s="798"/>
      <c r="AI115" s="798"/>
      <c r="AJ115" s="798"/>
      <c r="AK115" s="798"/>
      <c r="AL115" s="798"/>
      <c r="AM115" s="798"/>
      <c r="AN115" s="798"/>
      <c r="AO115" s="799"/>
    </row>
    <row r="116" spans="2:41" s="47" customFormat="1" ht="14.4" hidden="1" customHeight="1" x14ac:dyDescent="0.3">
      <c r="B116" s="1068"/>
      <c r="C116" s="767" t="s">
        <v>701</v>
      </c>
      <c r="D116" s="780" t="s">
        <v>702</v>
      </c>
      <c r="E116" s="764">
        <v>46569</v>
      </c>
      <c r="F116" s="765">
        <v>46583</v>
      </c>
      <c r="G116" s="139">
        <v>14</v>
      </c>
      <c r="H116" s="44" t="s">
        <v>696</v>
      </c>
      <c r="I116" s="44" t="s">
        <v>703</v>
      </c>
      <c r="J116" s="801">
        <v>0</v>
      </c>
      <c r="K116" s="868">
        <v>0</v>
      </c>
      <c r="L116" s="85">
        <v>0</v>
      </c>
      <c r="M116" s="66">
        <v>0</v>
      </c>
      <c r="N116" s="66">
        <v>0</v>
      </c>
      <c r="O116" s="66">
        <v>0</v>
      </c>
      <c r="P116" s="66">
        <v>0</v>
      </c>
      <c r="Q116" s="45">
        <v>0</v>
      </c>
      <c r="R116" s="800"/>
      <c r="S116" s="801"/>
      <c r="T116" s="801"/>
      <c r="U116" s="801"/>
      <c r="V116" s="801"/>
      <c r="W116" s="801"/>
      <c r="X116" s="801"/>
      <c r="Y116" s="801"/>
      <c r="Z116" s="801"/>
      <c r="AA116" s="801"/>
      <c r="AB116" s="801"/>
      <c r="AC116" s="802"/>
      <c r="AD116" s="800"/>
      <c r="AE116" s="801"/>
      <c r="AF116" s="801"/>
      <c r="AG116" s="801"/>
      <c r="AH116" s="801"/>
      <c r="AI116" s="801"/>
      <c r="AJ116" s="801"/>
      <c r="AK116" s="801"/>
      <c r="AL116" s="801"/>
      <c r="AM116" s="801"/>
      <c r="AN116" s="801"/>
      <c r="AO116" s="802"/>
    </row>
    <row r="117" spans="2:41" s="47" customFormat="1" ht="28.95" hidden="1" customHeight="1" x14ac:dyDescent="0.3">
      <c r="B117" s="1068"/>
      <c r="C117" s="767" t="s">
        <v>703</v>
      </c>
      <c r="D117" s="780" t="s">
        <v>704</v>
      </c>
      <c r="E117" s="764">
        <v>46583</v>
      </c>
      <c r="F117" s="765">
        <v>46614</v>
      </c>
      <c r="G117" s="139">
        <v>31</v>
      </c>
      <c r="H117" s="44" t="s">
        <v>701</v>
      </c>
      <c r="I117" s="44" t="s">
        <v>705</v>
      </c>
      <c r="J117" s="801">
        <v>0</v>
      </c>
      <c r="K117" s="868">
        <v>0</v>
      </c>
      <c r="L117" s="85">
        <v>0</v>
      </c>
      <c r="M117" s="66">
        <v>0</v>
      </c>
      <c r="N117" s="66">
        <v>0</v>
      </c>
      <c r="O117" s="66">
        <v>0</v>
      </c>
      <c r="P117" s="66">
        <v>0</v>
      </c>
      <c r="Q117" s="45">
        <v>0</v>
      </c>
      <c r="R117" s="800"/>
      <c r="S117" s="801"/>
      <c r="T117" s="801"/>
      <c r="U117" s="801"/>
      <c r="V117" s="801"/>
      <c r="W117" s="801"/>
      <c r="X117" s="801"/>
      <c r="Y117" s="801"/>
      <c r="Z117" s="801"/>
      <c r="AA117" s="801"/>
      <c r="AB117" s="801"/>
      <c r="AC117" s="802"/>
      <c r="AD117" s="800"/>
      <c r="AE117" s="801"/>
      <c r="AF117" s="801"/>
      <c r="AG117" s="801"/>
      <c r="AH117" s="801"/>
      <c r="AI117" s="801"/>
      <c r="AJ117" s="801"/>
      <c r="AK117" s="801"/>
      <c r="AL117" s="801"/>
      <c r="AM117" s="801"/>
      <c r="AN117" s="801"/>
      <c r="AO117" s="802"/>
    </row>
    <row r="118" spans="2:41" s="47" customFormat="1" ht="14.4" hidden="1" customHeight="1" x14ac:dyDescent="0.3">
      <c r="B118" s="1068"/>
      <c r="C118" s="767" t="s">
        <v>705</v>
      </c>
      <c r="D118" s="780" t="s">
        <v>706</v>
      </c>
      <c r="E118" s="764">
        <v>46614</v>
      </c>
      <c r="F118" s="765">
        <v>46645</v>
      </c>
      <c r="G118" s="139">
        <v>31</v>
      </c>
      <c r="H118" s="44" t="s">
        <v>703</v>
      </c>
      <c r="I118" s="44" t="s">
        <v>491</v>
      </c>
      <c r="J118" s="801">
        <v>0</v>
      </c>
      <c r="K118" s="868">
        <v>0</v>
      </c>
      <c r="L118" s="85">
        <v>0</v>
      </c>
      <c r="M118" s="66">
        <v>0</v>
      </c>
      <c r="N118" s="66">
        <v>0</v>
      </c>
      <c r="O118" s="66">
        <v>0</v>
      </c>
      <c r="P118" s="66">
        <v>0</v>
      </c>
      <c r="Q118" s="45">
        <v>0</v>
      </c>
      <c r="R118" s="800"/>
      <c r="S118" s="801"/>
      <c r="T118" s="801"/>
      <c r="U118" s="801"/>
      <c r="V118" s="801"/>
      <c r="W118" s="801"/>
      <c r="X118" s="801"/>
      <c r="Y118" s="801"/>
      <c r="Z118" s="801"/>
      <c r="AA118" s="801"/>
      <c r="AB118" s="801"/>
      <c r="AC118" s="802"/>
      <c r="AD118" s="800"/>
      <c r="AE118" s="801"/>
      <c r="AF118" s="801"/>
      <c r="AG118" s="801"/>
      <c r="AH118" s="801"/>
      <c r="AI118" s="801"/>
      <c r="AJ118" s="801"/>
      <c r="AK118" s="801"/>
      <c r="AL118" s="801"/>
      <c r="AM118" s="801"/>
      <c r="AN118" s="801"/>
      <c r="AO118" s="802"/>
    </row>
    <row r="119" spans="2:41" x14ac:dyDescent="0.3">
      <c r="B119" s="1068"/>
      <c r="C119" s="759" t="s">
        <v>707</v>
      </c>
      <c r="D119" s="763" t="s">
        <v>1466</v>
      </c>
      <c r="E119" s="761">
        <v>46024</v>
      </c>
      <c r="F119" s="762">
        <v>46386</v>
      </c>
      <c r="G119" s="708">
        <v>362</v>
      </c>
      <c r="H119" s="39" t="s">
        <v>490</v>
      </c>
      <c r="I119" s="39" t="s">
        <v>491</v>
      </c>
      <c r="J119" s="795">
        <v>1678492.52</v>
      </c>
      <c r="K119" s="866">
        <v>25625.84</v>
      </c>
      <c r="L119" s="83">
        <v>0</v>
      </c>
      <c r="M119" s="64">
        <v>0</v>
      </c>
      <c r="N119" s="64">
        <v>0</v>
      </c>
      <c r="O119" s="64">
        <v>0</v>
      </c>
      <c r="P119" s="64">
        <v>0</v>
      </c>
      <c r="Q119" s="32">
        <v>0</v>
      </c>
      <c r="R119" s="745"/>
      <c r="S119" s="746"/>
      <c r="T119" s="746"/>
      <c r="U119" s="746"/>
      <c r="V119" s="746"/>
      <c r="W119" s="746"/>
      <c r="X119" s="746"/>
      <c r="Y119" s="746"/>
      <c r="Z119" s="746"/>
      <c r="AA119" s="746"/>
      <c r="AB119" s="746"/>
      <c r="AC119" s="812"/>
      <c r="AD119" s="794"/>
      <c r="AE119" s="795"/>
      <c r="AF119" s="795"/>
      <c r="AG119" s="795"/>
      <c r="AH119" s="795"/>
      <c r="AI119" s="795"/>
      <c r="AJ119" s="795"/>
      <c r="AK119" s="795"/>
      <c r="AL119" s="795"/>
      <c r="AM119" s="795"/>
      <c r="AN119" s="795"/>
      <c r="AO119" s="796"/>
    </row>
    <row r="120" spans="2:41" ht="28.95" hidden="1" customHeight="1" x14ac:dyDescent="0.3">
      <c r="B120" s="1068"/>
      <c r="C120" s="759" t="s">
        <v>708</v>
      </c>
      <c r="D120" s="405" t="s">
        <v>1423</v>
      </c>
      <c r="E120" s="764">
        <v>46024</v>
      </c>
      <c r="F120" s="765">
        <v>46386</v>
      </c>
      <c r="G120" s="748">
        <v>362</v>
      </c>
      <c r="H120" s="40" t="s">
        <v>710</v>
      </c>
      <c r="I120" s="40" t="s">
        <v>491</v>
      </c>
      <c r="J120" s="798">
        <v>1678492.52</v>
      </c>
      <c r="K120" s="867">
        <v>25625.84</v>
      </c>
      <c r="L120" s="84">
        <v>0</v>
      </c>
      <c r="M120" s="65">
        <v>0</v>
      </c>
      <c r="N120" s="65">
        <v>0</v>
      </c>
      <c r="O120" s="65">
        <v>0</v>
      </c>
      <c r="P120" s="65">
        <v>0</v>
      </c>
      <c r="Q120" s="33">
        <v>0</v>
      </c>
      <c r="R120" s="797"/>
      <c r="S120" s="798"/>
      <c r="T120" s="798"/>
      <c r="U120" s="798"/>
      <c r="V120" s="798"/>
      <c r="W120" s="798"/>
      <c r="X120" s="798"/>
      <c r="Y120" s="798"/>
      <c r="Z120" s="798"/>
      <c r="AA120" s="798"/>
      <c r="AB120" s="798"/>
      <c r="AC120" s="799"/>
      <c r="AD120" s="797"/>
      <c r="AE120" s="798"/>
      <c r="AF120" s="798"/>
      <c r="AG120" s="798"/>
      <c r="AH120" s="798"/>
      <c r="AI120" s="798"/>
      <c r="AJ120" s="798"/>
      <c r="AK120" s="798"/>
      <c r="AL120" s="798"/>
      <c r="AM120" s="798"/>
      <c r="AN120" s="798"/>
      <c r="AO120" s="799"/>
    </row>
    <row r="121" spans="2:41" s="47" customFormat="1" ht="28.95" hidden="1" customHeight="1" x14ac:dyDescent="0.3">
      <c r="B121" s="1068"/>
      <c r="C121" s="767" t="s">
        <v>711</v>
      </c>
      <c r="D121" s="780" t="s">
        <v>712</v>
      </c>
      <c r="E121" s="769">
        <v>46024</v>
      </c>
      <c r="F121" s="770">
        <v>46386</v>
      </c>
      <c r="G121" s="139">
        <v>362</v>
      </c>
      <c r="H121" s="44" t="s">
        <v>710</v>
      </c>
      <c r="I121" s="44" t="s">
        <v>491</v>
      </c>
      <c r="J121" s="801">
        <v>0</v>
      </c>
      <c r="K121" s="868">
        <v>0</v>
      </c>
      <c r="L121" s="85">
        <v>0</v>
      </c>
      <c r="M121" s="66">
        <v>0</v>
      </c>
      <c r="N121" s="66">
        <v>0</v>
      </c>
      <c r="O121" s="66">
        <v>0</v>
      </c>
      <c r="P121" s="66">
        <v>0</v>
      </c>
      <c r="Q121" s="45">
        <v>0</v>
      </c>
      <c r="R121" s="800"/>
      <c r="S121" s="801"/>
      <c r="T121" s="801"/>
      <c r="U121" s="801"/>
      <c r="V121" s="801"/>
      <c r="W121" s="801"/>
      <c r="X121" s="801"/>
      <c r="Y121" s="801"/>
      <c r="Z121" s="801"/>
      <c r="AA121" s="801"/>
      <c r="AB121" s="801"/>
      <c r="AC121" s="802"/>
      <c r="AD121" s="800"/>
      <c r="AE121" s="801"/>
      <c r="AF121" s="801"/>
      <c r="AG121" s="801"/>
      <c r="AH121" s="801"/>
      <c r="AI121" s="801"/>
      <c r="AJ121" s="801"/>
      <c r="AK121" s="801"/>
      <c r="AL121" s="801"/>
      <c r="AM121" s="801"/>
      <c r="AN121" s="801"/>
      <c r="AO121" s="802"/>
    </row>
    <row r="122" spans="2:41" s="47" customFormat="1" ht="14.4" hidden="1" customHeight="1" x14ac:dyDescent="0.3">
      <c r="B122" s="1068"/>
      <c r="C122" s="767" t="s">
        <v>713</v>
      </c>
      <c r="D122" s="768" t="s">
        <v>714</v>
      </c>
      <c r="E122" s="769">
        <v>46024</v>
      </c>
      <c r="F122" s="770">
        <v>46386</v>
      </c>
      <c r="G122" s="139">
        <v>362</v>
      </c>
      <c r="H122" s="44" t="s">
        <v>710</v>
      </c>
      <c r="I122" s="44" t="s">
        <v>491</v>
      </c>
      <c r="J122" s="801">
        <v>0</v>
      </c>
      <c r="K122" s="868">
        <v>0</v>
      </c>
      <c r="L122" s="85">
        <v>0</v>
      </c>
      <c r="M122" s="66">
        <v>0</v>
      </c>
      <c r="N122" s="66">
        <v>0</v>
      </c>
      <c r="O122" s="66">
        <v>0</v>
      </c>
      <c r="P122" s="66">
        <v>0</v>
      </c>
      <c r="Q122" s="45">
        <v>0</v>
      </c>
      <c r="R122" s="800"/>
      <c r="S122" s="801"/>
      <c r="T122" s="801"/>
      <c r="U122" s="801"/>
      <c r="V122" s="801"/>
      <c r="W122" s="801"/>
      <c r="X122" s="801"/>
      <c r="Y122" s="801"/>
      <c r="Z122" s="801"/>
      <c r="AA122" s="801"/>
      <c r="AB122" s="801"/>
      <c r="AC122" s="802"/>
      <c r="AD122" s="800"/>
      <c r="AE122" s="801"/>
      <c r="AF122" s="801"/>
      <c r="AG122" s="801"/>
      <c r="AH122" s="801"/>
      <c r="AI122" s="801"/>
      <c r="AJ122" s="801"/>
      <c r="AK122" s="801"/>
      <c r="AL122" s="801"/>
      <c r="AM122" s="801"/>
      <c r="AN122" s="801"/>
      <c r="AO122" s="802"/>
    </row>
    <row r="123" spans="2:41" s="47" customFormat="1" ht="14.4" hidden="1" customHeight="1" x14ac:dyDescent="0.3">
      <c r="B123" s="1068"/>
      <c r="C123" s="767" t="s">
        <v>715</v>
      </c>
      <c r="D123" s="768" t="s">
        <v>716</v>
      </c>
      <c r="E123" s="769">
        <v>46024</v>
      </c>
      <c r="F123" s="770">
        <v>46386</v>
      </c>
      <c r="G123" s="139">
        <v>362</v>
      </c>
      <c r="H123" s="44" t="s">
        <v>710</v>
      </c>
      <c r="I123" s="44" t="s">
        <v>491</v>
      </c>
      <c r="J123" s="801">
        <v>0</v>
      </c>
      <c r="K123" s="868">
        <v>0</v>
      </c>
      <c r="L123" s="85">
        <v>0</v>
      </c>
      <c r="M123" s="66">
        <v>0</v>
      </c>
      <c r="N123" s="66">
        <v>0</v>
      </c>
      <c r="O123" s="66">
        <v>0</v>
      </c>
      <c r="P123" s="66">
        <v>0</v>
      </c>
      <c r="Q123" s="45">
        <v>0</v>
      </c>
      <c r="R123" s="800"/>
      <c r="S123" s="801"/>
      <c r="T123" s="801"/>
      <c r="U123" s="801"/>
      <c r="V123" s="801"/>
      <c r="W123" s="801"/>
      <c r="X123" s="801"/>
      <c r="Y123" s="801"/>
      <c r="Z123" s="801"/>
      <c r="AA123" s="801"/>
      <c r="AB123" s="801"/>
      <c r="AC123" s="802"/>
      <c r="AD123" s="800"/>
      <c r="AE123" s="801"/>
      <c r="AF123" s="801"/>
      <c r="AG123" s="801"/>
      <c r="AH123" s="801"/>
      <c r="AI123" s="801"/>
      <c r="AJ123" s="801"/>
      <c r="AK123" s="801"/>
      <c r="AL123" s="801"/>
      <c r="AM123" s="801"/>
      <c r="AN123" s="801"/>
      <c r="AO123" s="802"/>
    </row>
    <row r="124" spans="2:41" ht="14.4" hidden="1" customHeight="1" x14ac:dyDescent="0.3">
      <c r="B124" s="1068"/>
      <c r="C124" s="759" t="s">
        <v>717</v>
      </c>
      <c r="D124" s="405" t="s">
        <v>1424</v>
      </c>
      <c r="E124" s="764">
        <v>46024</v>
      </c>
      <c r="F124" s="765">
        <v>46386</v>
      </c>
      <c r="G124" s="748">
        <v>362</v>
      </c>
      <c r="H124" s="40" t="s">
        <v>710</v>
      </c>
      <c r="I124" s="40" t="s">
        <v>491</v>
      </c>
      <c r="J124" s="798">
        <v>0</v>
      </c>
      <c r="K124" s="867">
        <v>0</v>
      </c>
      <c r="L124" s="84">
        <v>0</v>
      </c>
      <c r="M124" s="65">
        <v>0</v>
      </c>
      <c r="N124" s="65">
        <v>0</v>
      </c>
      <c r="O124" s="65">
        <v>0</v>
      </c>
      <c r="P124" s="65">
        <v>0</v>
      </c>
      <c r="Q124" s="33">
        <v>0</v>
      </c>
      <c r="R124" s="797"/>
      <c r="S124" s="798"/>
      <c r="T124" s="798"/>
      <c r="U124" s="798"/>
      <c r="V124" s="798"/>
      <c r="W124" s="798"/>
      <c r="X124" s="798"/>
      <c r="Y124" s="798"/>
      <c r="Z124" s="798"/>
      <c r="AA124" s="798"/>
      <c r="AB124" s="798"/>
      <c r="AC124" s="799"/>
      <c r="AD124" s="797"/>
      <c r="AE124" s="798"/>
      <c r="AF124" s="798"/>
      <c r="AG124" s="798"/>
      <c r="AH124" s="798"/>
      <c r="AI124" s="798"/>
      <c r="AJ124" s="798"/>
      <c r="AK124" s="798"/>
      <c r="AL124" s="798"/>
      <c r="AM124" s="798"/>
      <c r="AN124" s="798"/>
      <c r="AO124" s="799"/>
    </row>
    <row r="125" spans="2:41" s="47" customFormat="1" ht="14.4" hidden="1" customHeight="1" x14ac:dyDescent="0.3">
      <c r="B125" s="1068"/>
      <c r="C125" s="767" t="s">
        <v>719</v>
      </c>
      <c r="D125" s="768" t="s">
        <v>720</v>
      </c>
      <c r="E125" s="769">
        <v>46024</v>
      </c>
      <c r="F125" s="770">
        <v>46386</v>
      </c>
      <c r="G125" s="139">
        <v>362</v>
      </c>
      <c r="H125" s="44" t="s">
        <v>710</v>
      </c>
      <c r="I125" s="44" t="s">
        <v>491</v>
      </c>
      <c r="J125" s="801">
        <v>0</v>
      </c>
      <c r="K125" s="868">
        <v>0</v>
      </c>
      <c r="L125" s="85">
        <v>0</v>
      </c>
      <c r="M125" s="66">
        <v>0</v>
      </c>
      <c r="N125" s="66">
        <v>0</v>
      </c>
      <c r="O125" s="66">
        <v>0</v>
      </c>
      <c r="P125" s="66">
        <v>0</v>
      </c>
      <c r="Q125" s="45">
        <v>0</v>
      </c>
      <c r="R125" s="800"/>
      <c r="S125" s="801"/>
      <c r="T125" s="801"/>
      <c r="U125" s="801"/>
      <c r="V125" s="801"/>
      <c r="W125" s="801"/>
      <c r="X125" s="801"/>
      <c r="Y125" s="801"/>
      <c r="Z125" s="801"/>
      <c r="AA125" s="801"/>
      <c r="AB125" s="801"/>
      <c r="AC125" s="802"/>
      <c r="AD125" s="800"/>
      <c r="AE125" s="801"/>
      <c r="AF125" s="801"/>
      <c r="AG125" s="801"/>
      <c r="AH125" s="801"/>
      <c r="AI125" s="801"/>
      <c r="AJ125" s="801"/>
      <c r="AK125" s="801"/>
      <c r="AL125" s="801"/>
      <c r="AM125" s="801"/>
      <c r="AN125" s="801"/>
      <c r="AO125" s="802"/>
    </row>
    <row r="126" spans="2:41" s="47" customFormat="1" ht="28.95" hidden="1" customHeight="1" x14ac:dyDescent="0.3">
      <c r="B126" s="1068"/>
      <c r="C126" s="767" t="s">
        <v>721</v>
      </c>
      <c r="D126" s="781" t="s">
        <v>722</v>
      </c>
      <c r="E126" s="769">
        <v>46024</v>
      </c>
      <c r="F126" s="770">
        <v>46386</v>
      </c>
      <c r="G126" s="139">
        <v>362</v>
      </c>
      <c r="H126" s="44" t="s">
        <v>710</v>
      </c>
      <c r="I126" s="44" t="s">
        <v>491</v>
      </c>
      <c r="J126" s="801">
        <v>0</v>
      </c>
      <c r="K126" s="868">
        <v>0</v>
      </c>
      <c r="L126" s="85">
        <v>0</v>
      </c>
      <c r="M126" s="66">
        <v>0</v>
      </c>
      <c r="N126" s="66">
        <v>0</v>
      </c>
      <c r="O126" s="66">
        <v>0</v>
      </c>
      <c r="P126" s="66">
        <v>0</v>
      </c>
      <c r="Q126" s="45">
        <v>0</v>
      </c>
      <c r="R126" s="800"/>
      <c r="S126" s="801"/>
      <c r="T126" s="801"/>
      <c r="U126" s="801"/>
      <c r="V126" s="801"/>
      <c r="W126" s="801"/>
      <c r="X126" s="801"/>
      <c r="Y126" s="801"/>
      <c r="Z126" s="801"/>
      <c r="AA126" s="801"/>
      <c r="AB126" s="801"/>
      <c r="AC126" s="802"/>
      <c r="AD126" s="800"/>
      <c r="AE126" s="801"/>
      <c r="AF126" s="801"/>
      <c r="AG126" s="801"/>
      <c r="AH126" s="801"/>
      <c r="AI126" s="801"/>
      <c r="AJ126" s="801"/>
      <c r="AK126" s="801"/>
      <c r="AL126" s="801"/>
      <c r="AM126" s="801"/>
      <c r="AN126" s="801"/>
      <c r="AO126" s="802"/>
    </row>
    <row r="127" spans="2:41" ht="14.4" hidden="1" customHeight="1" x14ac:dyDescent="0.3">
      <c r="B127" s="1068"/>
      <c r="C127" s="759" t="s">
        <v>723</v>
      </c>
      <c r="D127" s="405" t="s">
        <v>1425</v>
      </c>
      <c r="E127" s="764">
        <v>46024</v>
      </c>
      <c r="F127" s="765">
        <v>46386</v>
      </c>
      <c r="G127" s="748">
        <v>362</v>
      </c>
      <c r="H127" s="40" t="s">
        <v>710</v>
      </c>
      <c r="I127" s="40" t="s">
        <v>491</v>
      </c>
      <c r="J127" s="798">
        <v>0</v>
      </c>
      <c r="K127" s="867">
        <v>0</v>
      </c>
      <c r="L127" s="84">
        <v>0</v>
      </c>
      <c r="M127" s="65">
        <v>0</v>
      </c>
      <c r="N127" s="65">
        <v>0</v>
      </c>
      <c r="O127" s="65">
        <v>0</v>
      </c>
      <c r="P127" s="65">
        <v>0</v>
      </c>
      <c r="Q127" s="33">
        <v>0</v>
      </c>
      <c r="R127" s="797"/>
      <c r="S127" s="798"/>
      <c r="T127" s="798"/>
      <c r="U127" s="798"/>
      <c r="V127" s="798"/>
      <c r="W127" s="798"/>
      <c r="X127" s="798"/>
      <c r="Y127" s="798"/>
      <c r="Z127" s="798"/>
      <c r="AA127" s="798"/>
      <c r="AB127" s="798"/>
      <c r="AC127" s="799"/>
      <c r="AD127" s="797"/>
      <c r="AE127" s="798"/>
      <c r="AF127" s="798"/>
      <c r="AG127" s="798"/>
      <c r="AH127" s="798"/>
      <c r="AI127" s="798"/>
      <c r="AJ127" s="798"/>
      <c r="AK127" s="798"/>
      <c r="AL127" s="798"/>
      <c r="AM127" s="798"/>
      <c r="AN127" s="798"/>
      <c r="AO127" s="799"/>
    </row>
    <row r="128" spans="2:41" ht="14.4" hidden="1" customHeight="1" x14ac:dyDescent="0.3">
      <c r="B128" s="1068"/>
      <c r="C128" s="759" t="s">
        <v>725</v>
      </c>
      <c r="D128" s="405" t="s">
        <v>1426</v>
      </c>
      <c r="E128" s="764">
        <v>46024</v>
      </c>
      <c r="F128" s="765">
        <v>46386</v>
      </c>
      <c r="G128" s="748">
        <v>362</v>
      </c>
      <c r="H128" s="40" t="s">
        <v>710</v>
      </c>
      <c r="I128" s="40" t="s">
        <v>491</v>
      </c>
      <c r="J128" s="798">
        <v>0</v>
      </c>
      <c r="K128" s="867">
        <v>0</v>
      </c>
      <c r="L128" s="84">
        <v>0</v>
      </c>
      <c r="M128" s="65">
        <v>0</v>
      </c>
      <c r="N128" s="65">
        <v>0</v>
      </c>
      <c r="O128" s="65">
        <v>0</v>
      </c>
      <c r="P128" s="65">
        <v>0</v>
      </c>
      <c r="Q128" s="33">
        <v>0</v>
      </c>
      <c r="R128" s="797"/>
      <c r="S128" s="798"/>
      <c r="T128" s="798"/>
      <c r="U128" s="798"/>
      <c r="V128" s="798"/>
      <c r="W128" s="798"/>
      <c r="X128" s="798"/>
      <c r="Y128" s="798"/>
      <c r="Z128" s="798"/>
      <c r="AA128" s="798"/>
      <c r="AB128" s="798"/>
      <c r="AC128" s="799"/>
      <c r="AD128" s="797"/>
      <c r="AE128" s="798"/>
      <c r="AF128" s="798"/>
      <c r="AG128" s="798"/>
      <c r="AH128" s="798"/>
      <c r="AI128" s="798"/>
      <c r="AJ128" s="798"/>
      <c r="AK128" s="798"/>
      <c r="AL128" s="798"/>
      <c r="AM128" s="798"/>
      <c r="AN128" s="798"/>
      <c r="AO128" s="799"/>
    </row>
    <row r="129" spans="2:41" ht="29.4" thickBot="1" x14ac:dyDescent="0.35">
      <c r="B129" s="1068"/>
      <c r="C129" s="782" t="s">
        <v>55</v>
      </c>
      <c r="D129" s="783" t="s">
        <v>1467</v>
      </c>
      <c r="E129" s="784">
        <v>46024</v>
      </c>
      <c r="F129" s="785">
        <v>46751</v>
      </c>
      <c r="G129" s="707">
        <v>727</v>
      </c>
      <c r="H129" s="558" t="s">
        <v>490</v>
      </c>
      <c r="I129" s="558" t="s">
        <v>491</v>
      </c>
      <c r="J129" s="870">
        <v>100177666.97</v>
      </c>
      <c r="K129" s="871">
        <v>1529430.0300763359</v>
      </c>
      <c r="L129" s="560">
        <v>44608.375877226463</v>
      </c>
      <c r="M129" s="559">
        <v>44608.375877226463</v>
      </c>
      <c r="N129" s="559">
        <v>44608.375877226463</v>
      </c>
      <c r="O129" s="559">
        <v>44608.375877226463</v>
      </c>
      <c r="P129" s="559">
        <v>44608.375877226463</v>
      </c>
      <c r="Q129" s="561">
        <v>44608.375877226463</v>
      </c>
      <c r="R129" s="816"/>
      <c r="S129" s="817"/>
      <c r="T129" s="817"/>
      <c r="U129" s="817"/>
      <c r="V129" s="817"/>
      <c r="W129" s="817"/>
      <c r="X129" s="817"/>
      <c r="Y129" s="817"/>
      <c r="Z129" s="817"/>
      <c r="AA129" s="817"/>
      <c r="AB129" s="817"/>
      <c r="AC129" s="818"/>
      <c r="AD129" s="803"/>
      <c r="AE129" s="804"/>
      <c r="AF129" s="804"/>
      <c r="AG129" s="804"/>
      <c r="AH129" s="804"/>
      <c r="AI129" s="804"/>
      <c r="AJ129" s="804"/>
      <c r="AK129" s="804"/>
      <c r="AL129" s="804"/>
      <c r="AM129" s="804"/>
      <c r="AN129" s="804"/>
      <c r="AO129" s="805"/>
    </row>
    <row r="130" spans="2:41" ht="28.95" hidden="1" customHeight="1" x14ac:dyDescent="0.3">
      <c r="B130" s="1068"/>
      <c r="C130" s="755" t="s">
        <v>727</v>
      </c>
      <c r="D130" s="756" t="s">
        <v>728</v>
      </c>
      <c r="E130" s="757">
        <f>+E132</f>
        <v>45689</v>
      </c>
      <c r="F130" s="758">
        <f>+F185</f>
        <v>46751</v>
      </c>
      <c r="G130" s="747">
        <v>0</v>
      </c>
      <c r="H130" s="611" t="s">
        <v>490</v>
      </c>
      <c r="I130" s="611" t="str">
        <f>+I185</f>
        <v>FIN</v>
      </c>
      <c r="J130" s="872">
        <v>275693738.50999999</v>
      </c>
      <c r="K130" s="873">
        <v>4209064.7100763358</v>
      </c>
      <c r="L130" s="614">
        <v>0</v>
      </c>
      <c r="M130" s="613">
        <v>0</v>
      </c>
      <c r="N130" s="613">
        <v>0</v>
      </c>
      <c r="O130" s="613">
        <v>0</v>
      </c>
      <c r="P130" s="613">
        <v>0</v>
      </c>
      <c r="Q130" s="615">
        <v>0</v>
      </c>
      <c r="R130" s="819"/>
      <c r="S130" s="820"/>
      <c r="T130" s="820"/>
      <c r="U130" s="820"/>
      <c r="V130" s="820"/>
      <c r="W130" s="820"/>
      <c r="X130" s="820"/>
      <c r="Y130" s="820"/>
      <c r="Z130" s="820"/>
      <c r="AA130" s="820"/>
      <c r="AB130" s="820"/>
      <c r="AC130" s="821"/>
      <c r="AD130" s="819"/>
      <c r="AE130" s="820"/>
      <c r="AF130" s="820"/>
      <c r="AG130" s="820"/>
      <c r="AH130" s="820"/>
      <c r="AI130" s="820"/>
      <c r="AJ130" s="792"/>
      <c r="AK130" s="792"/>
      <c r="AL130" s="792"/>
      <c r="AM130" s="792"/>
      <c r="AN130" s="792"/>
      <c r="AO130" s="793"/>
    </row>
    <row r="131" spans="2:41" x14ac:dyDescent="0.3">
      <c r="B131" s="1068"/>
      <c r="C131" s="1103" t="s">
        <v>1485</v>
      </c>
      <c r="D131" s="1104"/>
      <c r="E131" s="1104"/>
      <c r="F131" s="1104"/>
      <c r="G131" s="1104"/>
      <c r="H131" s="1104"/>
      <c r="I131" s="1104"/>
      <c r="J131" s="1104"/>
      <c r="K131" s="1104"/>
      <c r="L131" s="1104"/>
      <c r="M131" s="1104"/>
      <c r="N131" s="1104"/>
      <c r="O131" s="1104"/>
      <c r="P131" s="1104"/>
      <c r="Q131" s="1104"/>
      <c r="R131" s="1104"/>
      <c r="S131" s="1104"/>
      <c r="T131" s="1104"/>
      <c r="U131" s="1104"/>
      <c r="V131" s="1104"/>
      <c r="W131" s="1104"/>
      <c r="X131" s="1104"/>
      <c r="Y131" s="1104"/>
      <c r="Z131" s="1104"/>
      <c r="AA131" s="1104"/>
      <c r="AB131" s="1104"/>
      <c r="AC131" s="1104"/>
      <c r="AD131" s="1104"/>
      <c r="AE131" s="1104"/>
      <c r="AF131" s="1104"/>
      <c r="AG131" s="1104"/>
      <c r="AH131" s="1104"/>
      <c r="AI131" s="1104"/>
      <c r="AJ131" s="1104"/>
      <c r="AK131" s="1104"/>
      <c r="AL131" s="1104"/>
      <c r="AM131" s="1104"/>
      <c r="AN131" s="1104"/>
      <c r="AO131" s="1105"/>
    </row>
    <row r="132" spans="2:41" ht="28.8" x14ac:dyDescent="0.3">
      <c r="B132" s="1068"/>
      <c r="C132" s="759" t="s">
        <v>114</v>
      </c>
      <c r="D132" s="763" t="s">
        <v>1468</v>
      </c>
      <c r="E132" s="761">
        <v>45689</v>
      </c>
      <c r="F132" s="762">
        <v>46541</v>
      </c>
      <c r="G132" s="708">
        <v>852</v>
      </c>
      <c r="H132" s="39" t="s">
        <v>490</v>
      </c>
      <c r="I132" s="39" t="s">
        <v>491</v>
      </c>
      <c r="J132" s="795">
        <v>11953750</v>
      </c>
      <c r="K132" s="866">
        <v>182500</v>
      </c>
      <c r="L132" s="83">
        <v>0</v>
      </c>
      <c r="M132" s="64">
        <v>0</v>
      </c>
      <c r="N132" s="64">
        <v>0</v>
      </c>
      <c r="O132" s="64">
        <v>0</v>
      </c>
      <c r="P132" s="64">
        <v>0</v>
      </c>
      <c r="Q132" s="32">
        <v>0</v>
      </c>
      <c r="R132" s="745"/>
      <c r="S132" s="746"/>
      <c r="T132" s="746"/>
      <c r="U132" s="746"/>
      <c r="V132" s="746"/>
      <c r="W132" s="746"/>
      <c r="X132" s="746"/>
      <c r="Y132" s="746"/>
      <c r="Z132" s="746"/>
      <c r="AA132" s="746"/>
      <c r="AB132" s="746"/>
      <c r="AC132" s="812"/>
      <c r="AD132" s="745"/>
      <c r="AE132" s="746"/>
      <c r="AF132" s="746"/>
      <c r="AG132" s="746"/>
      <c r="AH132" s="746"/>
      <c r="AI132" s="746"/>
      <c r="AJ132" s="795"/>
      <c r="AK132" s="795"/>
      <c r="AL132" s="795"/>
      <c r="AM132" s="795"/>
      <c r="AN132" s="795"/>
      <c r="AO132" s="796"/>
    </row>
    <row r="133" spans="2:41" ht="28.95" hidden="1" customHeight="1" x14ac:dyDescent="0.3">
      <c r="B133" s="1068"/>
      <c r="C133" s="759" t="s">
        <v>729</v>
      </c>
      <c r="D133" s="405" t="s">
        <v>1427</v>
      </c>
      <c r="E133" s="436">
        <v>45689</v>
      </c>
      <c r="F133" s="766">
        <v>45716</v>
      </c>
      <c r="G133" s="751">
        <v>27</v>
      </c>
      <c r="H133" s="41" t="s">
        <v>490</v>
      </c>
      <c r="I133" s="41" t="s">
        <v>731</v>
      </c>
      <c r="J133" s="807">
        <v>0</v>
      </c>
      <c r="K133" s="874">
        <v>0</v>
      </c>
      <c r="L133" s="88">
        <v>0</v>
      </c>
      <c r="M133" s="70">
        <v>0</v>
      </c>
      <c r="N133" s="70">
        <v>0</v>
      </c>
      <c r="O133" s="70">
        <v>0</v>
      </c>
      <c r="P133" s="70">
        <v>0</v>
      </c>
      <c r="Q133" s="34">
        <v>0</v>
      </c>
      <c r="R133" s="806"/>
      <c r="S133" s="807"/>
      <c r="T133" s="807"/>
      <c r="U133" s="807"/>
      <c r="V133" s="807"/>
      <c r="W133" s="807"/>
      <c r="X133" s="807"/>
      <c r="Y133" s="807"/>
      <c r="Z133" s="807"/>
      <c r="AA133" s="807"/>
      <c r="AB133" s="807"/>
      <c r="AC133" s="808"/>
      <c r="AD133" s="806"/>
      <c r="AE133" s="807"/>
      <c r="AF133" s="807"/>
      <c r="AG133" s="807"/>
      <c r="AH133" s="807"/>
      <c r="AI133" s="807"/>
      <c r="AJ133" s="807"/>
      <c r="AK133" s="807"/>
      <c r="AL133" s="807"/>
      <c r="AM133" s="807"/>
      <c r="AN133" s="807"/>
      <c r="AO133" s="808"/>
    </row>
    <row r="134" spans="2:41" ht="28.95" hidden="1" customHeight="1" x14ac:dyDescent="0.3">
      <c r="B134" s="1068"/>
      <c r="C134" s="759" t="s">
        <v>731</v>
      </c>
      <c r="D134" s="405" t="s">
        <v>1428</v>
      </c>
      <c r="E134" s="436">
        <v>45717</v>
      </c>
      <c r="F134" s="766">
        <v>45747</v>
      </c>
      <c r="G134" s="751">
        <v>30</v>
      </c>
      <c r="H134" s="41" t="s">
        <v>729</v>
      </c>
      <c r="I134" s="41" t="s">
        <v>733</v>
      </c>
      <c r="J134" s="807">
        <v>0</v>
      </c>
      <c r="K134" s="874">
        <v>0</v>
      </c>
      <c r="L134" s="88">
        <v>0</v>
      </c>
      <c r="M134" s="70">
        <v>0</v>
      </c>
      <c r="N134" s="70">
        <v>0</v>
      </c>
      <c r="O134" s="70">
        <v>0</v>
      </c>
      <c r="P134" s="70">
        <v>0</v>
      </c>
      <c r="Q134" s="34">
        <v>0</v>
      </c>
      <c r="R134" s="806"/>
      <c r="S134" s="807"/>
      <c r="T134" s="807"/>
      <c r="U134" s="807"/>
      <c r="V134" s="807"/>
      <c r="W134" s="807"/>
      <c r="X134" s="807"/>
      <c r="Y134" s="807"/>
      <c r="Z134" s="807"/>
      <c r="AA134" s="807"/>
      <c r="AB134" s="807"/>
      <c r="AC134" s="808"/>
      <c r="AD134" s="806"/>
      <c r="AE134" s="807"/>
      <c r="AF134" s="807"/>
      <c r="AG134" s="807"/>
      <c r="AH134" s="807"/>
      <c r="AI134" s="807"/>
      <c r="AJ134" s="807"/>
      <c r="AK134" s="807"/>
      <c r="AL134" s="807"/>
      <c r="AM134" s="807"/>
      <c r="AN134" s="807"/>
      <c r="AO134" s="808"/>
    </row>
    <row r="135" spans="2:41" ht="28.95" hidden="1" customHeight="1" x14ac:dyDescent="0.3">
      <c r="B135" s="1068"/>
      <c r="C135" s="759" t="s">
        <v>733</v>
      </c>
      <c r="D135" s="405" t="s">
        <v>1429</v>
      </c>
      <c r="E135" s="436">
        <v>45748</v>
      </c>
      <c r="F135" s="766">
        <v>45762</v>
      </c>
      <c r="G135" s="751">
        <v>14</v>
      </c>
      <c r="H135" s="41" t="s">
        <v>731</v>
      </c>
      <c r="I135" s="41" t="s">
        <v>735</v>
      </c>
      <c r="J135" s="807">
        <v>0</v>
      </c>
      <c r="K135" s="874">
        <v>0</v>
      </c>
      <c r="L135" s="88">
        <v>0</v>
      </c>
      <c r="M135" s="70">
        <v>0</v>
      </c>
      <c r="N135" s="70">
        <v>0</v>
      </c>
      <c r="O135" s="70">
        <v>0</v>
      </c>
      <c r="P135" s="70">
        <v>0</v>
      </c>
      <c r="Q135" s="34">
        <v>0</v>
      </c>
      <c r="R135" s="806"/>
      <c r="S135" s="807"/>
      <c r="T135" s="807"/>
      <c r="U135" s="807"/>
      <c r="V135" s="807"/>
      <c r="W135" s="807"/>
      <c r="X135" s="807"/>
      <c r="Y135" s="807"/>
      <c r="Z135" s="807"/>
      <c r="AA135" s="807"/>
      <c r="AB135" s="807"/>
      <c r="AC135" s="808"/>
      <c r="AD135" s="806"/>
      <c r="AE135" s="807"/>
      <c r="AF135" s="807"/>
      <c r="AG135" s="807"/>
      <c r="AH135" s="807"/>
      <c r="AI135" s="807"/>
      <c r="AJ135" s="807"/>
      <c r="AK135" s="807"/>
      <c r="AL135" s="807"/>
      <c r="AM135" s="807"/>
      <c r="AN135" s="807"/>
      <c r="AO135" s="808"/>
    </row>
    <row r="136" spans="2:41" ht="28.95" hidden="1" customHeight="1" x14ac:dyDescent="0.3">
      <c r="B136" s="1068"/>
      <c r="C136" s="759" t="s">
        <v>735</v>
      </c>
      <c r="D136" s="405" t="s">
        <v>1430</v>
      </c>
      <c r="E136" s="436">
        <v>45762</v>
      </c>
      <c r="F136" s="766">
        <v>45792</v>
      </c>
      <c r="G136" s="751">
        <v>30</v>
      </c>
      <c r="H136" s="41" t="s">
        <v>733</v>
      </c>
      <c r="I136" s="41" t="s">
        <v>737</v>
      </c>
      <c r="J136" s="807">
        <v>0</v>
      </c>
      <c r="K136" s="874">
        <v>0</v>
      </c>
      <c r="L136" s="88">
        <v>0</v>
      </c>
      <c r="M136" s="70">
        <v>0</v>
      </c>
      <c r="N136" s="70">
        <v>0</v>
      </c>
      <c r="O136" s="70">
        <v>0</v>
      </c>
      <c r="P136" s="70">
        <v>0</v>
      </c>
      <c r="Q136" s="34">
        <v>0</v>
      </c>
      <c r="R136" s="806"/>
      <c r="S136" s="807"/>
      <c r="T136" s="807"/>
      <c r="U136" s="807"/>
      <c r="V136" s="807"/>
      <c r="W136" s="807"/>
      <c r="X136" s="807"/>
      <c r="Y136" s="807"/>
      <c r="Z136" s="807"/>
      <c r="AA136" s="807"/>
      <c r="AB136" s="807"/>
      <c r="AC136" s="808"/>
      <c r="AD136" s="806"/>
      <c r="AE136" s="807"/>
      <c r="AF136" s="807"/>
      <c r="AG136" s="807"/>
      <c r="AH136" s="807"/>
      <c r="AI136" s="807"/>
      <c r="AJ136" s="807"/>
      <c r="AK136" s="807"/>
      <c r="AL136" s="807"/>
      <c r="AM136" s="807"/>
      <c r="AN136" s="807"/>
      <c r="AO136" s="808"/>
    </row>
    <row r="137" spans="2:41" ht="28.95" hidden="1" customHeight="1" x14ac:dyDescent="0.3">
      <c r="B137" s="1068"/>
      <c r="C137" s="759" t="s">
        <v>737</v>
      </c>
      <c r="D137" s="405" t="s">
        <v>1431</v>
      </c>
      <c r="E137" s="436">
        <v>45823</v>
      </c>
      <c r="F137" s="766">
        <v>45853</v>
      </c>
      <c r="G137" s="751">
        <v>30</v>
      </c>
      <c r="H137" s="41" t="s">
        <v>735</v>
      </c>
      <c r="I137" s="41" t="s">
        <v>739</v>
      </c>
      <c r="J137" s="807">
        <v>0</v>
      </c>
      <c r="K137" s="874">
        <v>0</v>
      </c>
      <c r="L137" s="88">
        <v>0</v>
      </c>
      <c r="M137" s="70">
        <v>0</v>
      </c>
      <c r="N137" s="70">
        <v>0</v>
      </c>
      <c r="O137" s="70">
        <v>0</v>
      </c>
      <c r="P137" s="70">
        <v>0</v>
      </c>
      <c r="Q137" s="34">
        <v>0</v>
      </c>
      <c r="R137" s="806"/>
      <c r="S137" s="807"/>
      <c r="T137" s="807"/>
      <c r="U137" s="807"/>
      <c r="V137" s="807"/>
      <c r="W137" s="807"/>
      <c r="X137" s="807"/>
      <c r="Y137" s="807"/>
      <c r="Z137" s="807"/>
      <c r="AA137" s="807"/>
      <c r="AB137" s="807"/>
      <c r="AC137" s="808"/>
      <c r="AD137" s="806"/>
      <c r="AE137" s="807"/>
      <c r="AF137" s="807"/>
      <c r="AG137" s="807"/>
      <c r="AH137" s="807"/>
      <c r="AI137" s="807"/>
      <c r="AJ137" s="807"/>
      <c r="AK137" s="807"/>
      <c r="AL137" s="807"/>
      <c r="AM137" s="807"/>
      <c r="AN137" s="807"/>
      <c r="AO137" s="808"/>
    </row>
    <row r="138" spans="2:41" ht="28.95" hidden="1" customHeight="1" x14ac:dyDescent="0.3">
      <c r="B138" s="1068"/>
      <c r="C138" s="759" t="s">
        <v>739</v>
      </c>
      <c r="D138" s="405" t="s">
        <v>1432</v>
      </c>
      <c r="E138" s="436">
        <v>45884</v>
      </c>
      <c r="F138" s="766">
        <v>45915</v>
      </c>
      <c r="G138" s="751">
        <v>31</v>
      </c>
      <c r="H138" s="41" t="s">
        <v>737</v>
      </c>
      <c r="I138" s="41" t="s">
        <v>116</v>
      </c>
      <c r="J138" s="807">
        <v>0</v>
      </c>
      <c r="K138" s="874">
        <v>0</v>
      </c>
      <c r="L138" s="88">
        <v>0</v>
      </c>
      <c r="M138" s="70">
        <v>0</v>
      </c>
      <c r="N138" s="70">
        <v>0</v>
      </c>
      <c r="O138" s="70">
        <v>0</v>
      </c>
      <c r="P138" s="70">
        <v>0</v>
      </c>
      <c r="Q138" s="34">
        <v>0</v>
      </c>
      <c r="R138" s="806"/>
      <c r="S138" s="807"/>
      <c r="T138" s="807"/>
      <c r="U138" s="807"/>
      <c r="V138" s="807"/>
      <c r="W138" s="807"/>
      <c r="X138" s="807"/>
      <c r="Y138" s="807"/>
      <c r="Z138" s="807"/>
      <c r="AA138" s="807"/>
      <c r="AB138" s="807"/>
      <c r="AC138" s="808"/>
      <c r="AD138" s="806"/>
      <c r="AE138" s="807"/>
      <c r="AF138" s="807"/>
      <c r="AG138" s="807"/>
      <c r="AH138" s="807"/>
      <c r="AI138" s="807"/>
      <c r="AJ138" s="807"/>
      <c r="AK138" s="807"/>
      <c r="AL138" s="807"/>
      <c r="AM138" s="807"/>
      <c r="AN138" s="807"/>
      <c r="AO138" s="808"/>
    </row>
    <row r="139" spans="2:41" ht="28.95" hidden="1" customHeight="1" x14ac:dyDescent="0.3">
      <c r="B139" s="1068"/>
      <c r="C139" s="759" t="s">
        <v>116</v>
      </c>
      <c r="D139" s="405" t="s">
        <v>1433</v>
      </c>
      <c r="E139" s="436">
        <v>45915</v>
      </c>
      <c r="F139" s="766">
        <v>46055</v>
      </c>
      <c r="G139" s="751">
        <v>140</v>
      </c>
      <c r="H139" s="41" t="s">
        <v>739</v>
      </c>
      <c r="I139" s="41" t="s">
        <v>741</v>
      </c>
      <c r="J139" s="807">
        <v>11953750</v>
      </c>
      <c r="K139" s="874">
        <v>182500</v>
      </c>
      <c r="L139" s="88">
        <v>0</v>
      </c>
      <c r="M139" s="70">
        <v>0</v>
      </c>
      <c r="N139" s="70">
        <v>0</v>
      </c>
      <c r="O139" s="70">
        <v>0</v>
      </c>
      <c r="P139" s="70">
        <v>0</v>
      </c>
      <c r="Q139" s="34">
        <v>0</v>
      </c>
      <c r="R139" s="806"/>
      <c r="S139" s="807"/>
      <c r="T139" s="807"/>
      <c r="U139" s="807"/>
      <c r="V139" s="807"/>
      <c r="W139" s="807"/>
      <c r="X139" s="807"/>
      <c r="Y139" s="807"/>
      <c r="Z139" s="807"/>
      <c r="AA139" s="807"/>
      <c r="AB139" s="807"/>
      <c r="AC139" s="808"/>
      <c r="AD139" s="806"/>
      <c r="AE139" s="807"/>
      <c r="AF139" s="807"/>
      <c r="AG139" s="807"/>
      <c r="AH139" s="807"/>
      <c r="AI139" s="807"/>
      <c r="AJ139" s="807"/>
      <c r="AK139" s="807"/>
      <c r="AL139" s="807"/>
      <c r="AM139" s="807"/>
      <c r="AN139" s="807"/>
      <c r="AO139" s="808"/>
    </row>
    <row r="140" spans="2:41" ht="28.95" hidden="1" customHeight="1" x14ac:dyDescent="0.3">
      <c r="B140" s="1068"/>
      <c r="C140" s="759" t="s">
        <v>741</v>
      </c>
      <c r="D140" s="405" t="s">
        <v>1434</v>
      </c>
      <c r="E140" s="436">
        <v>46056</v>
      </c>
      <c r="F140" s="766">
        <v>46082</v>
      </c>
      <c r="G140" s="751">
        <v>26</v>
      </c>
      <c r="H140" s="41" t="s">
        <v>116</v>
      </c>
      <c r="I140" s="41" t="s">
        <v>743</v>
      </c>
      <c r="J140" s="807">
        <v>0</v>
      </c>
      <c r="K140" s="874">
        <v>0</v>
      </c>
      <c r="L140" s="88">
        <v>0</v>
      </c>
      <c r="M140" s="70">
        <v>0</v>
      </c>
      <c r="N140" s="70">
        <v>0</v>
      </c>
      <c r="O140" s="70">
        <v>0</v>
      </c>
      <c r="P140" s="70">
        <v>0</v>
      </c>
      <c r="Q140" s="34">
        <v>0</v>
      </c>
      <c r="R140" s="806"/>
      <c r="S140" s="807"/>
      <c r="T140" s="807"/>
      <c r="U140" s="807"/>
      <c r="V140" s="807"/>
      <c r="W140" s="807"/>
      <c r="X140" s="807"/>
      <c r="Y140" s="807"/>
      <c r="Z140" s="807"/>
      <c r="AA140" s="807"/>
      <c r="AB140" s="807"/>
      <c r="AC140" s="808"/>
      <c r="AD140" s="806"/>
      <c r="AE140" s="807"/>
      <c r="AF140" s="807"/>
      <c r="AG140" s="807"/>
      <c r="AH140" s="807"/>
      <c r="AI140" s="807"/>
      <c r="AJ140" s="807"/>
      <c r="AK140" s="807"/>
      <c r="AL140" s="807"/>
      <c r="AM140" s="807"/>
      <c r="AN140" s="807"/>
      <c r="AO140" s="808"/>
    </row>
    <row r="141" spans="2:41" ht="28.95" hidden="1" customHeight="1" x14ac:dyDescent="0.3">
      <c r="B141" s="1068"/>
      <c r="C141" s="759" t="s">
        <v>743</v>
      </c>
      <c r="D141" s="405" t="s">
        <v>1435</v>
      </c>
      <c r="E141" s="436">
        <v>46083</v>
      </c>
      <c r="F141" s="766">
        <v>46509</v>
      </c>
      <c r="G141" s="751">
        <v>426</v>
      </c>
      <c r="H141" s="41" t="s">
        <v>741</v>
      </c>
      <c r="I141" s="41" t="s">
        <v>745</v>
      </c>
      <c r="J141" s="807">
        <v>0</v>
      </c>
      <c r="K141" s="874">
        <v>0</v>
      </c>
      <c r="L141" s="88">
        <v>0</v>
      </c>
      <c r="M141" s="70">
        <v>0</v>
      </c>
      <c r="N141" s="70">
        <v>0</v>
      </c>
      <c r="O141" s="70">
        <v>0</v>
      </c>
      <c r="P141" s="70">
        <v>0</v>
      </c>
      <c r="Q141" s="34">
        <v>0</v>
      </c>
      <c r="R141" s="806"/>
      <c r="S141" s="807"/>
      <c r="T141" s="807"/>
      <c r="U141" s="807"/>
      <c r="V141" s="807"/>
      <c r="W141" s="807"/>
      <c r="X141" s="807"/>
      <c r="Y141" s="807"/>
      <c r="Z141" s="807"/>
      <c r="AA141" s="807"/>
      <c r="AB141" s="807"/>
      <c r="AC141" s="808"/>
      <c r="AD141" s="806"/>
      <c r="AE141" s="807"/>
      <c r="AF141" s="807"/>
      <c r="AG141" s="807"/>
      <c r="AH141" s="807"/>
      <c r="AI141" s="807"/>
      <c r="AJ141" s="807"/>
      <c r="AK141" s="807"/>
      <c r="AL141" s="807"/>
      <c r="AM141" s="807"/>
      <c r="AN141" s="807"/>
      <c r="AO141" s="808"/>
    </row>
    <row r="142" spans="2:41" ht="28.95" hidden="1" customHeight="1" x14ac:dyDescent="0.3">
      <c r="B142" s="1068"/>
      <c r="C142" s="759" t="s">
        <v>745</v>
      </c>
      <c r="D142" s="405" t="s">
        <v>1436</v>
      </c>
      <c r="E142" s="436">
        <v>46083</v>
      </c>
      <c r="F142" s="766">
        <v>46509</v>
      </c>
      <c r="G142" s="751">
        <v>426</v>
      </c>
      <c r="H142" s="41" t="s">
        <v>741</v>
      </c>
      <c r="I142" s="41" t="s">
        <v>745</v>
      </c>
      <c r="J142" s="807">
        <v>0</v>
      </c>
      <c r="K142" s="874">
        <v>0</v>
      </c>
      <c r="L142" s="88">
        <v>0</v>
      </c>
      <c r="M142" s="70">
        <v>0</v>
      </c>
      <c r="N142" s="70">
        <v>0</v>
      </c>
      <c r="O142" s="70">
        <v>0</v>
      </c>
      <c r="P142" s="70">
        <v>0</v>
      </c>
      <c r="Q142" s="34">
        <v>0</v>
      </c>
      <c r="R142" s="806"/>
      <c r="S142" s="807"/>
      <c r="T142" s="807"/>
      <c r="U142" s="807"/>
      <c r="V142" s="807"/>
      <c r="W142" s="807"/>
      <c r="X142" s="807"/>
      <c r="Y142" s="807"/>
      <c r="Z142" s="807"/>
      <c r="AA142" s="807"/>
      <c r="AB142" s="807"/>
      <c r="AC142" s="808"/>
      <c r="AD142" s="806"/>
      <c r="AE142" s="807"/>
      <c r="AF142" s="807"/>
      <c r="AG142" s="807"/>
      <c r="AH142" s="807"/>
      <c r="AI142" s="807"/>
      <c r="AJ142" s="807"/>
      <c r="AK142" s="807"/>
      <c r="AL142" s="807"/>
      <c r="AM142" s="807"/>
      <c r="AN142" s="807"/>
      <c r="AO142" s="808"/>
    </row>
    <row r="143" spans="2:41" ht="28.95" hidden="1" customHeight="1" x14ac:dyDescent="0.3">
      <c r="B143" s="1068"/>
      <c r="C143" s="759" t="s">
        <v>747</v>
      </c>
      <c r="D143" s="405" t="s">
        <v>1437</v>
      </c>
      <c r="E143" s="436">
        <v>46083</v>
      </c>
      <c r="F143" s="766">
        <v>46509</v>
      </c>
      <c r="G143" s="751">
        <v>426</v>
      </c>
      <c r="H143" s="41" t="s">
        <v>741</v>
      </c>
      <c r="I143" s="41" t="s">
        <v>745</v>
      </c>
      <c r="J143" s="807">
        <v>0</v>
      </c>
      <c r="K143" s="874">
        <v>0</v>
      </c>
      <c r="L143" s="88">
        <v>0</v>
      </c>
      <c r="M143" s="70">
        <v>0</v>
      </c>
      <c r="N143" s="70">
        <v>0</v>
      </c>
      <c r="O143" s="70">
        <v>0</v>
      </c>
      <c r="P143" s="70">
        <v>0</v>
      </c>
      <c r="Q143" s="34">
        <v>0</v>
      </c>
      <c r="R143" s="806"/>
      <c r="S143" s="807"/>
      <c r="T143" s="807"/>
      <c r="U143" s="807"/>
      <c r="V143" s="807"/>
      <c r="W143" s="807"/>
      <c r="X143" s="807"/>
      <c r="Y143" s="807"/>
      <c r="Z143" s="807"/>
      <c r="AA143" s="807"/>
      <c r="AB143" s="807"/>
      <c r="AC143" s="808"/>
      <c r="AD143" s="806"/>
      <c r="AE143" s="807"/>
      <c r="AF143" s="807"/>
      <c r="AG143" s="807"/>
      <c r="AH143" s="807"/>
      <c r="AI143" s="807"/>
      <c r="AJ143" s="807"/>
      <c r="AK143" s="807"/>
      <c r="AL143" s="807"/>
      <c r="AM143" s="807"/>
      <c r="AN143" s="807"/>
      <c r="AO143" s="808"/>
    </row>
    <row r="144" spans="2:41" ht="28.95" hidden="1" customHeight="1" x14ac:dyDescent="0.3">
      <c r="B144" s="1068"/>
      <c r="C144" s="759" t="s">
        <v>749</v>
      </c>
      <c r="D144" s="405" t="s">
        <v>1438</v>
      </c>
      <c r="E144" s="436">
        <v>46083</v>
      </c>
      <c r="F144" s="766">
        <v>46509</v>
      </c>
      <c r="G144" s="751">
        <v>426</v>
      </c>
      <c r="H144" s="41" t="s">
        <v>741</v>
      </c>
      <c r="I144" s="41" t="s">
        <v>745</v>
      </c>
      <c r="J144" s="807">
        <v>0</v>
      </c>
      <c r="K144" s="874">
        <v>0</v>
      </c>
      <c r="L144" s="88">
        <v>0</v>
      </c>
      <c r="M144" s="70">
        <v>0</v>
      </c>
      <c r="N144" s="70">
        <v>0</v>
      </c>
      <c r="O144" s="70">
        <v>0</v>
      </c>
      <c r="P144" s="70">
        <v>0</v>
      </c>
      <c r="Q144" s="34">
        <v>0</v>
      </c>
      <c r="R144" s="806"/>
      <c r="S144" s="807"/>
      <c r="T144" s="807"/>
      <c r="U144" s="807"/>
      <c r="V144" s="807"/>
      <c r="W144" s="807"/>
      <c r="X144" s="807"/>
      <c r="Y144" s="807"/>
      <c r="Z144" s="807"/>
      <c r="AA144" s="807"/>
      <c r="AB144" s="807"/>
      <c r="AC144" s="808"/>
      <c r="AD144" s="806"/>
      <c r="AE144" s="807"/>
      <c r="AF144" s="807"/>
      <c r="AG144" s="807"/>
      <c r="AH144" s="807"/>
      <c r="AI144" s="807"/>
      <c r="AJ144" s="807"/>
      <c r="AK144" s="807"/>
      <c r="AL144" s="807"/>
      <c r="AM144" s="807"/>
      <c r="AN144" s="807"/>
      <c r="AO144" s="808"/>
    </row>
    <row r="145" spans="2:41" ht="28.95" hidden="1" customHeight="1" x14ac:dyDescent="0.3">
      <c r="B145" s="1068"/>
      <c r="C145" s="759" t="s">
        <v>751</v>
      </c>
      <c r="D145" s="405" t="s">
        <v>1439</v>
      </c>
      <c r="E145" s="436">
        <v>46510</v>
      </c>
      <c r="F145" s="766">
        <v>46541</v>
      </c>
      <c r="G145" s="751">
        <v>31</v>
      </c>
      <c r="H145" s="41" t="s">
        <v>749</v>
      </c>
      <c r="I145" s="41" t="s">
        <v>491</v>
      </c>
      <c r="J145" s="807">
        <v>0</v>
      </c>
      <c r="K145" s="874">
        <v>0</v>
      </c>
      <c r="L145" s="88">
        <v>0</v>
      </c>
      <c r="M145" s="70">
        <v>0</v>
      </c>
      <c r="N145" s="70">
        <v>0</v>
      </c>
      <c r="O145" s="70">
        <v>0</v>
      </c>
      <c r="P145" s="70">
        <v>0</v>
      </c>
      <c r="Q145" s="34">
        <v>0</v>
      </c>
      <c r="R145" s="806"/>
      <c r="S145" s="807"/>
      <c r="T145" s="807"/>
      <c r="U145" s="807"/>
      <c r="V145" s="807"/>
      <c r="W145" s="807"/>
      <c r="X145" s="807"/>
      <c r="Y145" s="807"/>
      <c r="Z145" s="807"/>
      <c r="AA145" s="807"/>
      <c r="AB145" s="807"/>
      <c r="AC145" s="808"/>
      <c r="AD145" s="806"/>
      <c r="AE145" s="807"/>
      <c r="AF145" s="807"/>
      <c r="AG145" s="807"/>
      <c r="AH145" s="807"/>
      <c r="AI145" s="807"/>
      <c r="AJ145" s="807"/>
      <c r="AK145" s="807"/>
      <c r="AL145" s="807"/>
      <c r="AM145" s="807"/>
      <c r="AN145" s="807"/>
      <c r="AO145" s="808"/>
    </row>
    <row r="146" spans="2:41" ht="28.8" x14ac:dyDescent="0.3">
      <c r="B146" s="1068"/>
      <c r="C146" s="759" t="s">
        <v>134</v>
      </c>
      <c r="D146" s="763" t="s">
        <v>1469</v>
      </c>
      <c r="E146" s="761">
        <v>45839</v>
      </c>
      <c r="F146" s="762">
        <v>46568</v>
      </c>
      <c r="G146" s="708">
        <v>729</v>
      </c>
      <c r="H146" s="39" t="s">
        <v>490</v>
      </c>
      <c r="I146" s="39" t="s">
        <v>491</v>
      </c>
      <c r="J146" s="795">
        <v>105919311.16</v>
      </c>
      <c r="K146" s="866">
        <v>1617088.72</v>
      </c>
      <c r="L146" s="83">
        <v>0</v>
      </c>
      <c r="M146" s="64">
        <v>0</v>
      </c>
      <c r="N146" s="64">
        <v>0</v>
      </c>
      <c r="O146" s="64">
        <v>0</v>
      </c>
      <c r="P146" s="64">
        <v>0</v>
      </c>
      <c r="Q146" s="32">
        <v>0</v>
      </c>
      <c r="R146" s="794"/>
      <c r="S146" s="795"/>
      <c r="T146" s="795"/>
      <c r="U146" s="795"/>
      <c r="V146" s="795"/>
      <c r="W146" s="795"/>
      <c r="X146" s="746"/>
      <c r="Y146" s="746"/>
      <c r="Z146" s="746"/>
      <c r="AA146" s="746"/>
      <c r="AB146" s="746"/>
      <c r="AC146" s="812"/>
      <c r="AD146" s="745"/>
      <c r="AE146" s="746"/>
      <c r="AF146" s="746"/>
      <c r="AG146" s="746"/>
      <c r="AH146" s="746"/>
      <c r="AI146" s="746"/>
      <c r="AJ146" s="795"/>
      <c r="AK146" s="795"/>
      <c r="AL146" s="795"/>
      <c r="AM146" s="795"/>
      <c r="AN146" s="795"/>
      <c r="AO146" s="796"/>
    </row>
    <row r="147" spans="2:41" ht="57.6" hidden="1" customHeight="1" x14ac:dyDescent="0.3">
      <c r="B147" s="1068"/>
      <c r="C147" s="759" t="s">
        <v>136</v>
      </c>
      <c r="D147" s="405" t="s">
        <v>1440</v>
      </c>
      <c r="E147" s="436">
        <v>45870</v>
      </c>
      <c r="F147" s="766">
        <v>46142</v>
      </c>
      <c r="G147" s="751">
        <v>272</v>
      </c>
      <c r="H147" s="41" t="s">
        <v>490</v>
      </c>
      <c r="I147" s="41" t="s">
        <v>146</v>
      </c>
      <c r="J147" s="807">
        <v>655000</v>
      </c>
      <c r="K147" s="874">
        <v>10000</v>
      </c>
      <c r="L147" s="88">
        <v>0</v>
      </c>
      <c r="M147" s="70">
        <v>0</v>
      </c>
      <c r="N147" s="70">
        <v>0</v>
      </c>
      <c r="O147" s="70">
        <v>0</v>
      </c>
      <c r="P147" s="70">
        <v>0</v>
      </c>
      <c r="Q147" s="34">
        <v>0</v>
      </c>
      <c r="R147" s="806"/>
      <c r="S147" s="807"/>
      <c r="T147" s="807"/>
      <c r="U147" s="807"/>
      <c r="V147" s="807"/>
      <c r="W147" s="807"/>
      <c r="X147" s="807"/>
      <c r="Y147" s="807"/>
      <c r="Z147" s="807"/>
      <c r="AA147" s="807"/>
      <c r="AB147" s="807"/>
      <c r="AC147" s="808"/>
      <c r="AD147" s="806"/>
      <c r="AE147" s="807"/>
      <c r="AF147" s="807"/>
      <c r="AG147" s="807"/>
      <c r="AH147" s="807"/>
      <c r="AI147" s="807"/>
      <c r="AJ147" s="807"/>
      <c r="AK147" s="807"/>
      <c r="AL147" s="807"/>
      <c r="AM147" s="807"/>
      <c r="AN147" s="807"/>
      <c r="AO147" s="808"/>
    </row>
    <row r="148" spans="2:41" s="47" customFormat="1" ht="14.4" hidden="1" customHeight="1" x14ac:dyDescent="0.3">
      <c r="B148" s="1068"/>
      <c r="C148" s="767" t="s">
        <v>138</v>
      </c>
      <c r="D148" s="768" t="s">
        <v>139</v>
      </c>
      <c r="E148" s="769">
        <v>45884</v>
      </c>
      <c r="F148" s="770">
        <v>46142</v>
      </c>
      <c r="G148" s="139">
        <v>258</v>
      </c>
      <c r="H148" s="44" t="s">
        <v>490</v>
      </c>
      <c r="I148" s="44" t="s">
        <v>753</v>
      </c>
      <c r="J148" s="801">
        <v>0</v>
      </c>
      <c r="K148" s="868">
        <v>0</v>
      </c>
      <c r="L148" s="85">
        <v>0</v>
      </c>
      <c r="M148" s="66">
        <v>0</v>
      </c>
      <c r="N148" s="66">
        <v>0</v>
      </c>
      <c r="O148" s="66">
        <v>0</v>
      </c>
      <c r="P148" s="66">
        <v>0</v>
      </c>
      <c r="Q148" s="45">
        <v>0</v>
      </c>
      <c r="R148" s="800"/>
      <c r="S148" s="801"/>
      <c r="T148" s="801"/>
      <c r="U148" s="801"/>
      <c r="V148" s="801"/>
      <c r="W148" s="801"/>
      <c r="X148" s="801"/>
      <c r="Y148" s="801"/>
      <c r="Z148" s="801"/>
      <c r="AA148" s="801"/>
      <c r="AB148" s="801"/>
      <c r="AC148" s="802"/>
      <c r="AD148" s="800"/>
      <c r="AE148" s="801"/>
      <c r="AF148" s="801"/>
      <c r="AG148" s="801"/>
      <c r="AH148" s="801"/>
      <c r="AI148" s="801"/>
      <c r="AJ148" s="801"/>
      <c r="AK148" s="801"/>
      <c r="AL148" s="801"/>
      <c r="AM148" s="801"/>
      <c r="AN148" s="801"/>
      <c r="AO148" s="802"/>
    </row>
    <row r="149" spans="2:41" s="47" customFormat="1" ht="28.95" hidden="1" customHeight="1" x14ac:dyDescent="0.3">
      <c r="B149" s="1068"/>
      <c r="C149" s="767" t="s">
        <v>140</v>
      </c>
      <c r="D149" s="780" t="s">
        <v>141</v>
      </c>
      <c r="E149" s="769">
        <v>45884</v>
      </c>
      <c r="F149" s="765">
        <v>46053</v>
      </c>
      <c r="G149" s="139">
        <v>169</v>
      </c>
      <c r="H149" s="44" t="s">
        <v>490</v>
      </c>
      <c r="I149" s="44" t="s">
        <v>154</v>
      </c>
      <c r="J149" s="801">
        <v>0</v>
      </c>
      <c r="K149" s="868">
        <v>0</v>
      </c>
      <c r="L149" s="85">
        <v>0</v>
      </c>
      <c r="M149" s="66">
        <v>0</v>
      </c>
      <c r="N149" s="66">
        <v>0</v>
      </c>
      <c r="O149" s="66">
        <v>0</v>
      </c>
      <c r="P149" s="66">
        <v>0</v>
      </c>
      <c r="Q149" s="45">
        <v>0</v>
      </c>
      <c r="R149" s="800"/>
      <c r="S149" s="801"/>
      <c r="T149" s="801"/>
      <c r="U149" s="801"/>
      <c r="V149" s="801"/>
      <c r="W149" s="801"/>
      <c r="X149" s="801"/>
      <c r="Y149" s="801"/>
      <c r="Z149" s="801"/>
      <c r="AA149" s="801"/>
      <c r="AB149" s="801"/>
      <c r="AC149" s="802"/>
      <c r="AD149" s="800"/>
      <c r="AE149" s="801"/>
      <c r="AF149" s="801"/>
      <c r="AG149" s="801"/>
      <c r="AH149" s="801"/>
      <c r="AI149" s="801"/>
      <c r="AJ149" s="801"/>
      <c r="AK149" s="801"/>
      <c r="AL149" s="801"/>
      <c r="AM149" s="801"/>
      <c r="AN149" s="801"/>
      <c r="AO149" s="802"/>
    </row>
    <row r="150" spans="2:41" s="47" customFormat="1" ht="28.95" hidden="1" customHeight="1" x14ac:dyDescent="0.3">
      <c r="B150" s="1068"/>
      <c r="C150" s="767" t="s">
        <v>142</v>
      </c>
      <c r="D150" s="768" t="s">
        <v>143</v>
      </c>
      <c r="E150" s="769">
        <v>45870</v>
      </c>
      <c r="F150" s="770">
        <v>46081</v>
      </c>
      <c r="G150" s="139">
        <v>211</v>
      </c>
      <c r="H150" s="44" t="s">
        <v>490</v>
      </c>
      <c r="I150" s="145" t="s">
        <v>754</v>
      </c>
      <c r="J150" s="801">
        <v>0</v>
      </c>
      <c r="K150" s="868">
        <v>0</v>
      </c>
      <c r="L150" s="85">
        <v>0</v>
      </c>
      <c r="M150" s="66">
        <v>0</v>
      </c>
      <c r="N150" s="66">
        <v>0</v>
      </c>
      <c r="O150" s="66">
        <v>0</v>
      </c>
      <c r="P150" s="66">
        <v>0</v>
      </c>
      <c r="Q150" s="45">
        <v>0</v>
      </c>
      <c r="R150" s="800"/>
      <c r="S150" s="801"/>
      <c r="T150" s="801"/>
      <c r="U150" s="801"/>
      <c r="V150" s="801"/>
      <c r="W150" s="801"/>
      <c r="X150" s="801"/>
      <c r="Y150" s="801"/>
      <c r="Z150" s="801"/>
      <c r="AA150" s="801"/>
      <c r="AB150" s="801"/>
      <c r="AC150" s="802"/>
      <c r="AD150" s="800"/>
      <c r="AE150" s="801"/>
      <c r="AF150" s="801"/>
      <c r="AG150" s="801"/>
      <c r="AH150" s="801"/>
      <c r="AI150" s="801"/>
      <c r="AJ150" s="801"/>
      <c r="AK150" s="801"/>
      <c r="AL150" s="801"/>
      <c r="AM150" s="801"/>
      <c r="AN150" s="801"/>
      <c r="AO150" s="802"/>
    </row>
    <row r="151" spans="2:41" s="47" customFormat="1" ht="14.4" hidden="1" customHeight="1" x14ac:dyDescent="0.3">
      <c r="B151" s="1068"/>
      <c r="C151" s="767" t="s">
        <v>144</v>
      </c>
      <c r="D151" s="768" t="s">
        <v>145</v>
      </c>
      <c r="E151" s="769">
        <v>46037</v>
      </c>
      <c r="F151" s="770">
        <v>46127</v>
      </c>
      <c r="G151" s="139">
        <v>90</v>
      </c>
      <c r="H151" s="44" t="s">
        <v>490</v>
      </c>
      <c r="I151" s="145" t="s">
        <v>491</v>
      </c>
      <c r="J151" s="801">
        <v>655000</v>
      </c>
      <c r="K151" s="868">
        <v>10000</v>
      </c>
      <c r="L151" s="85">
        <v>0</v>
      </c>
      <c r="M151" s="66">
        <v>0</v>
      </c>
      <c r="N151" s="66">
        <v>0</v>
      </c>
      <c r="O151" s="66">
        <v>0</v>
      </c>
      <c r="P151" s="66">
        <v>0</v>
      </c>
      <c r="Q151" s="45">
        <v>0</v>
      </c>
      <c r="R151" s="800"/>
      <c r="S151" s="801"/>
      <c r="T151" s="801"/>
      <c r="U151" s="801"/>
      <c r="V151" s="801"/>
      <c r="W151" s="801"/>
      <c r="X151" s="801"/>
      <c r="Y151" s="801"/>
      <c r="Z151" s="801"/>
      <c r="AA151" s="801"/>
      <c r="AB151" s="801"/>
      <c r="AC151" s="802"/>
      <c r="AD151" s="800"/>
      <c r="AE151" s="801"/>
      <c r="AF151" s="801"/>
      <c r="AG151" s="801"/>
      <c r="AH151" s="801"/>
      <c r="AI151" s="801"/>
      <c r="AJ151" s="801"/>
      <c r="AK151" s="801"/>
      <c r="AL151" s="801"/>
      <c r="AM151" s="801"/>
      <c r="AN151" s="801"/>
      <c r="AO151" s="802"/>
    </row>
    <row r="152" spans="2:41" ht="72" hidden="1" customHeight="1" x14ac:dyDescent="0.3">
      <c r="B152" s="1068"/>
      <c r="C152" s="759" t="s">
        <v>146</v>
      </c>
      <c r="D152" s="405" t="s">
        <v>1441</v>
      </c>
      <c r="E152" s="436">
        <v>45839</v>
      </c>
      <c r="F152" s="766">
        <v>46553</v>
      </c>
      <c r="G152" s="751">
        <v>714</v>
      </c>
      <c r="H152" s="41" t="s">
        <v>136</v>
      </c>
      <c r="I152" s="41" t="s">
        <v>491</v>
      </c>
      <c r="J152" s="874">
        <v>86656500</v>
      </c>
      <c r="K152" s="874">
        <v>1323000</v>
      </c>
      <c r="L152" s="88">
        <v>0</v>
      </c>
      <c r="M152" s="70">
        <v>0</v>
      </c>
      <c r="N152" s="70">
        <v>0</v>
      </c>
      <c r="O152" s="70">
        <v>0</v>
      </c>
      <c r="P152" s="70">
        <v>0</v>
      </c>
      <c r="Q152" s="34">
        <v>0</v>
      </c>
      <c r="R152" s="806"/>
      <c r="S152" s="807"/>
      <c r="T152" s="807"/>
      <c r="U152" s="807"/>
      <c r="V152" s="807"/>
      <c r="W152" s="807"/>
      <c r="X152" s="807"/>
      <c r="Y152" s="807"/>
      <c r="Z152" s="807"/>
      <c r="AA152" s="807"/>
      <c r="AB152" s="807"/>
      <c r="AC152" s="808"/>
      <c r="AD152" s="806"/>
      <c r="AE152" s="807"/>
      <c r="AF152" s="807"/>
      <c r="AG152" s="807"/>
      <c r="AH152" s="807"/>
      <c r="AI152" s="807"/>
      <c r="AJ152" s="807"/>
      <c r="AK152" s="807"/>
      <c r="AL152" s="807"/>
      <c r="AM152" s="807"/>
      <c r="AN152" s="807"/>
      <c r="AO152" s="808"/>
    </row>
    <row r="153" spans="2:41" s="47" customFormat="1" ht="28.95" hidden="1" customHeight="1" x14ac:dyDescent="0.3">
      <c r="B153" s="1068"/>
      <c r="C153" s="767" t="s">
        <v>148</v>
      </c>
      <c r="D153" s="780" t="s">
        <v>149</v>
      </c>
      <c r="E153" s="769" t="e">
        <v>#REF!</v>
      </c>
      <c r="F153" s="770" t="e">
        <v>#REF!</v>
      </c>
      <c r="G153" s="139" t="e">
        <v>#REF!</v>
      </c>
      <c r="H153" s="44" t="s">
        <v>490</v>
      </c>
      <c r="I153" s="44" t="s">
        <v>491</v>
      </c>
      <c r="J153" s="801">
        <v>21615000</v>
      </c>
      <c r="K153" s="868">
        <v>330000</v>
      </c>
      <c r="L153" s="85">
        <v>0</v>
      </c>
      <c r="M153" s="66">
        <v>0</v>
      </c>
      <c r="N153" s="66">
        <v>0</v>
      </c>
      <c r="O153" s="66">
        <v>0</v>
      </c>
      <c r="P153" s="66">
        <v>0</v>
      </c>
      <c r="Q153" s="45">
        <v>0</v>
      </c>
      <c r="R153" s="800"/>
      <c r="S153" s="801"/>
      <c r="T153" s="801"/>
      <c r="U153" s="801"/>
      <c r="V153" s="801"/>
      <c r="W153" s="801"/>
      <c r="X153" s="801"/>
      <c r="Y153" s="801"/>
      <c r="Z153" s="801"/>
      <c r="AA153" s="801"/>
      <c r="AB153" s="801"/>
      <c r="AC153" s="802"/>
      <c r="AD153" s="800"/>
      <c r="AE153" s="801"/>
      <c r="AF153" s="801"/>
      <c r="AG153" s="801"/>
      <c r="AH153" s="801"/>
      <c r="AI153" s="801"/>
      <c r="AJ153" s="801"/>
      <c r="AK153" s="801"/>
      <c r="AL153" s="801"/>
      <c r="AM153" s="801"/>
      <c r="AN153" s="801"/>
      <c r="AO153" s="802"/>
    </row>
    <row r="154" spans="2:41" s="47" customFormat="1" ht="43.2" hidden="1" customHeight="1" x14ac:dyDescent="0.3">
      <c r="B154" s="1068"/>
      <c r="C154" s="767" t="s">
        <v>150</v>
      </c>
      <c r="D154" s="779" t="s">
        <v>151</v>
      </c>
      <c r="E154" s="769" t="e">
        <v>#REF!</v>
      </c>
      <c r="F154" s="770" t="e">
        <v>#REF!</v>
      </c>
      <c r="G154" s="139" t="e">
        <v>#REF!</v>
      </c>
      <c r="H154" s="145" t="s">
        <v>755</v>
      </c>
      <c r="I154" s="44" t="e">
        <v>#REF!</v>
      </c>
      <c r="J154" s="801">
        <v>46505000</v>
      </c>
      <c r="K154" s="868">
        <v>710000</v>
      </c>
      <c r="L154" s="85">
        <v>0</v>
      </c>
      <c r="M154" s="66">
        <v>0</v>
      </c>
      <c r="N154" s="66">
        <v>0</v>
      </c>
      <c r="O154" s="66">
        <v>0</v>
      </c>
      <c r="P154" s="66">
        <v>0</v>
      </c>
      <c r="Q154" s="45">
        <v>0</v>
      </c>
      <c r="R154" s="800"/>
      <c r="S154" s="801"/>
      <c r="T154" s="801"/>
      <c r="U154" s="801"/>
      <c r="V154" s="801"/>
      <c r="W154" s="801"/>
      <c r="X154" s="801"/>
      <c r="Y154" s="801"/>
      <c r="Z154" s="801"/>
      <c r="AA154" s="801"/>
      <c r="AB154" s="801"/>
      <c r="AC154" s="802"/>
      <c r="AD154" s="800"/>
      <c r="AE154" s="801"/>
      <c r="AF154" s="801"/>
      <c r="AG154" s="801"/>
      <c r="AH154" s="801"/>
      <c r="AI154" s="801"/>
      <c r="AJ154" s="801"/>
      <c r="AK154" s="801"/>
      <c r="AL154" s="801"/>
      <c r="AM154" s="801"/>
      <c r="AN154" s="801"/>
      <c r="AO154" s="802"/>
    </row>
    <row r="155" spans="2:41" s="47" customFormat="1" ht="28.95" hidden="1" customHeight="1" x14ac:dyDescent="0.3">
      <c r="B155" s="1068"/>
      <c r="C155" s="767" t="s">
        <v>152</v>
      </c>
      <c r="D155" s="779" t="s">
        <v>153</v>
      </c>
      <c r="E155" s="769" t="e">
        <v>#REF!</v>
      </c>
      <c r="F155" s="770" t="e">
        <v>#REF!</v>
      </c>
      <c r="G155" s="139" t="e">
        <v>#REF!</v>
      </c>
      <c r="H155" s="44" t="s">
        <v>142</v>
      </c>
      <c r="I155" s="44" t="e">
        <v>#REF!</v>
      </c>
      <c r="J155" s="801">
        <v>13100000</v>
      </c>
      <c r="K155" s="868">
        <v>200000</v>
      </c>
      <c r="L155" s="85">
        <v>0</v>
      </c>
      <c r="M155" s="66">
        <v>0</v>
      </c>
      <c r="N155" s="66">
        <v>0</v>
      </c>
      <c r="O155" s="66">
        <v>0</v>
      </c>
      <c r="P155" s="66">
        <v>0</v>
      </c>
      <c r="Q155" s="45">
        <v>0</v>
      </c>
      <c r="R155" s="800"/>
      <c r="S155" s="801"/>
      <c r="T155" s="801"/>
      <c r="U155" s="801"/>
      <c r="V155" s="801"/>
      <c r="W155" s="801"/>
      <c r="X155" s="801"/>
      <c r="Y155" s="801"/>
      <c r="Z155" s="801"/>
      <c r="AA155" s="801"/>
      <c r="AB155" s="801"/>
      <c r="AC155" s="802"/>
      <c r="AD155" s="800"/>
      <c r="AE155" s="801"/>
      <c r="AF155" s="801"/>
      <c r="AG155" s="801"/>
      <c r="AH155" s="801"/>
      <c r="AI155" s="801"/>
      <c r="AJ155" s="801"/>
      <c r="AK155" s="801"/>
      <c r="AL155" s="801"/>
      <c r="AM155" s="801"/>
      <c r="AN155" s="801"/>
      <c r="AO155" s="802"/>
    </row>
    <row r="156" spans="2:41" s="47" customFormat="1" ht="28.95" hidden="1" customHeight="1" x14ac:dyDescent="0.3">
      <c r="B156" s="1068"/>
      <c r="C156" s="767" t="s">
        <v>154</v>
      </c>
      <c r="D156" s="779" t="s">
        <v>155</v>
      </c>
      <c r="E156" s="769">
        <v>45839</v>
      </c>
      <c r="F156" s="770">
        <v>46537</v>
      </c>
      <c r="G156" s="139">
        <v>698</v>
      </c>
      <c r="H156" s="44" t="s">
        <v>490</v>
      </c>
      <c r="I156" s="44" t="s">
        <v>491</v>
      </c>
      <c r="J156" s="801">
        <v>0</v>
      </c>
      <c r="K156" s="868">
        <v>0</v>
      </c>
      <c r="L156" s="85">
        <v>0</v>
      </c>
      <c r="M156" s="66">
        <v>0</v>
      </c>
      <c r="N156" s="66">
        <v>0</v>
      </c>
      <c r="O156" s="66">
        <v>0</v>
      </c>
      <c r="P156" s="66">
        <v>0</v>
      </c>
      <c r="Q156" s="45">
        <v>0</v>
      </c>
      <c r="R156" s="800"/>
      <c r="S156" s="801"/>
      <c r="T156" s="801"/>
      <c r="U156" s="801"/>
      <c r="V156" s="801"/>
      <c r="W156" s="801"/>
      <c r="X156" s="801"/>
      <c r="Y156" s="801"/>
      <c r="Z156" s="801"/>
      <c r="AA156" s="801"/>
      <c r="AB156" s="801"/>
      <c r="AC156" s="802"/>
      <c r="AD156" s="800"/>
      <c r="AE156" s="801"/>
      <c r="AF156" s="801"/>
      <c r="AG156" s="801"/>
      <c r="AH156" s="801"/>
      <c r="AI156" s="801"/>
      <c r="AJ156" s="801"/>
      <c r="AK156" s="801"/>
      <c r="AL156" s="801"/>
      <c r="AM156" s="801"/>
      <c r="AN156" s="801"/>
      <c r="AO156" s="802"/>
    </row>
    <row r="157" spans="2:41" s="47" customFormat="1" ht="28.95" hidden="1" customHeight="1" x14ac:dyDescent="0.3">
      <c r="B157" s="1068"/>
      <c r="C157" s="767" t="s">
        <v>156</v>
      </c>
      <c r="D157" s="779" t="s">
        <v>157</v>
      </c>
      <c r="E157" s="769">
        <v>45839</v>
      </c>
      <c r="F157" s="770">
        <v>46537</v>
      </c>
      <c r="G157" s="139">
        <v>90</v>
      </c>
      <c r="H157" s="44" t="s">
        <v>490</v>
      </c>
      <c r="I157" s="44" t="s">
        <v>491</v>
      </c>
      <c r="J157" s="801">
        <v>2292500</v>
      </c>
      <c r="K157" s="868">
        <v>35000</v>
      </c>
      <c r="L157" s="85">
        <v>0</v>
      </c>
      <c r="M157" s="66">
        <v>0</v>
      </c>
      <c r="N157" s="66">
        <v>0</v>
      </c>
      <c r="O157" s="66">
        <v>0</v>
      </c>
      <c r="P157" s="66">
        <v>0</v>
      </c>
      <c r="Q157" s="45">
        <v>0</v>
      </c>
      <c r="R157" s="800"/>
      <c r="S157" s="801"/>
      <c r="T157" s="801"/>
      <c r="U157" s="801"/>
      <c r="V157" s="801"/>
      <c r="W157" s="801"/>
      <c r="X157" s="801"/>
      <c r="Y157" s="801"/>
      <c r="Z157" s="801"/>
      <c r="AA157" s="801"/>
      <c r="AB157" s="801"/>
      <c r="AC157" s="802"/>
      <c r="AD157" s="800"/>
      <c r="AE157" s="801"/>
      <c r="AF157" s="801"/>
      <c r="AG157" s="801"/>
      <c r="AH157" s="801"/>
      <c r="AI157" s="801"/>
      <c r="AJ157" s="801"/>
      <c r="AK157" s="801"/>
      <c r="AL157" s="801"/>
      <c r="AM157" s="801"/>
      <c r="AN157" s="801"/>
      <c r="AO157" s="802"/>
    </row>
    <row r="158" spans="2:41" s="47" customFormat="1" ht="28.95" hidden="1" customHeight="1" x14ac:dyDescent="0.3">
      <c r="B158" s="1068"/>
      <c r="C158" s="767" t="s">
        <v>158</v>
      </c>
      <c r="D158" s="779" t="s">
        <v>159</v>
      </c>
      <c r="E158" s="769">
        <v>45839</v>
      </c>
      <c r="F158" s="770">
        <v>46537</v>
      </c>
      <c r="G158" s="139">
        <v>90</v>
      </c>
      <c r="H158" s="44" t="s">
        <v>490</v>
      </c>
      <c r="I158" s="44" t="s">
        <v>491</v>
      </c>
      <c r="J158" s="801">
        <v>3144000</v>
      </c>
      <c r="K158" s="868">
        <v>48000</v>
      </c>
      <c r="L158" s="85">
        <v>0</v>
      </c>
      <c r="M158" s="66">
        <v>0</v>
      </c>
      <c r="N158" s="66">
        <v>0</v>
      </c>
      <c r="O158" s="66">
        <v>0</v>
      </c>
      <c r="P158" s="66">
        <v>0</v>
      </c>
      <c r="Q158" s="45">
        <v>0</v>
      </c>
      <c r="R158" s="800"/>
      <c r="S158" s="801"/>
      <c r="T158" s="801"/>
      <c r="U158" s="801"/>
      <c r="V158" s="801"/>
      <c r="W158" s="801"/>
      <c r="X158" s="801"/>
      <c r="Y158" s="801"/>
      <c r="Z158" s="801"/>
      <c r="AA158" s="801"/>
      <c r="AB158" s="801"/>
      <c r="AC158" s="802"/>
      <c r="AD158" s="800"/>
      <c r="AE158" s="801"/>
      <c r="AF158" s="801"/>
      <c r="AG158" s="801"/>
      <c r="AH158" s="801"/>
      <c r="AI158" s="801"/>
      <c r="AJ158" s="801"/>
      <c r="AK158" s="801"/>
      <c r="AL158" s="801"/>
      <c r="AM158" s="801"/>
      <c r="AN158" s="801"/>
      <c r="AO158" s="802"/>
    </row>
    <row r="159" spans="2:41" s="47" customFormat="1" ht="28.95" hidden="1" customHeight="1" x14ac:dyDescent="0.3">
      <c r="B159" s="1068"/>
      <c r="C159" s="767" t="s">
        <v>160</v>
      </c>
      <c r="D159" s="779" t="s">
        <v>161</v>
      </c>
      <c r="E159" s="769">
        <v>45839</v>
      </c>
      <c r="F159" s="770">
        <v>46537</v>
      </c>
      <c r="G159" s="139">
        <v>90</v>
      </c>
      <c r="H159" s="44" t="s">
        <v>490</v>
      </c>
      <c r="I159" s="44" t="s">
        <v>491</v>
      </c>
      <c r="J159" s="801">
        <v>0</v>
      </c>
      <c r="K159" s="868">
        <v>0</v>
      </c>
      <c r="L159" s="85">
        <v>0</v>
      </c>
      <c r="M159" s="66">
        <v>0</v>
      </c>
      <c r="N159" s="66">
        <v>0</v>
      </c>
      <c r="O159" s="66">
        <v>0</v>
      </c>
      <c r="P159" s="66">
        <v>0</v>
      </c>
      <c r="Q159" s="45">
        <v>0</v>
      </c>
      <c r="R159" s="800"/>
      <c r="S159" s="801"/>
      <c r="T159" s="801"/>
      <c r="U159" s="801"/>
      <c r="V159" s="801"/>
      <c r="W159" s="801"/>
      <c r="X159" s="801"/>
      <c r="Y159" s="801"/>
      <c r="Z159" s="801"/>
      <c r="AA159" s="801"/>
      <c r="AB159" s="801"/>
      <c r="AC159" s="802"/>
      <c r="AD159" s="800"/>
      <c r="AE159" s="801"/>
      <c r="AF159" s="801"/>
      <c r="AG159" s="801"/>
      <c r="AH159" s="801"/>
      <c r="AI159" s="801"/>
      <c r="AJ159" s="801"/>
      <c r="AK159" s="801"/>
      <c r="AL159" s="801"/>
      <c r="AM159" s="801"/>
      <c r="AN159" s="801"/>
      <c r="AO159" s="802"/>
    </row>
    <row r="160" spans="2:41" s="47" customFormat="1" ht="43.2" hidden="1" customHeight="1" x14ac:dyDescent="0.3">
      <c r="B160" s="1068"/>
      <c r="C160" s="767" t="s">
        <v>162</v>
      </c>
      <c r="D160" s="779" t="s">
        <v>163</v>
      </c>
      <c r="E160" s="769">
        <v>45839</v>
      </c>
      <c r="F160" s="770">
        <v>46537</v>
      </c>
      <c r="G160" s="139">
        <v>90</v>
      </c>
      <c r="H160" s="44" t="s">
        <v>490</v>
      </c>
      <c r="I160" s="44" t="s">
        <v>491</v>
      </c>
      <c r="J160" s="801">
        <v>0</v>
      </c>
      <c r="K160" s="868">
        <v>0</v>
      </c>
      <c r="L160" s="85">
        <v>0</v>
      </c>
      <c r="M160" s="66">
        <v>0</v>
      </c>
      <c r="N160" s="66">
        <v>0</v>
      </c>
      <c r="O160" s="66">
        <v>0</v>
      </c>
      <c r="P160" s="66">
        <v>0</v>
      </c>
      <c r="Q160" s="45">
        <v>0</v>
      </c>
      <c r="R160" s="800"/>
      <c r="S160" s="801"/>
      <c r="T160" s="801"/>
      <c r="U160" s="801"/>
      <c r="V160" s="801"/>
      <c r="W160" s="801"/>
      <c r="X160" s="801"/>
      <c r="Y160" s="801"/>
      <c r="Z160" s="801"/>
      <c r="AA160" s="801"/>
      <c r="AB160" s="801"/>
      <c r="AC160" s="802"/>
      <c r="AD160" s="800"/>
      <c r="AE160" s="801"/>
      <c r="AF160" s="801"/>
      <c r="AG160" s="801"/>
      <c r="AH160" s="801"/>
      <c r="AI160" s="801"/>
      <c r="AJ160" s="801"/>
      <c r="AK160" s="801"/>
      <c r="AL160" s="801"/>
      <c r="AM160" s="801"/>
      <c r="AN160" s="801"/>
      <c r="AO160" s="802"/>
    </row>
    <row r="161" spans="2:41" x14ac:dyDescent="0.3">
      <c r="B161" s="1068"/>
      <c r="C161" s="759" t="s">
        <v>756</v>
      </c>
      <c r="D161" s="763" t="s">
        <v>1470</v>
      </c>
      <c r="E161" s="761" t="s">
        <v>758</v>
      </c>
      <c r="F161" s="762" t="s">
        <v>758</v>
      </c>
      <c r="G161" s="708" t="e">
        <v>#VALUE!</v>
      </c>
      <c r="H161" s="39" t="s">
        <v>758</v>
      </c>
      <c r="I161" s="39" t="s">
        <v>758</v>
      </c>
      <c r="J161" s="795">
        <v>0</v>
      </c>
      <c r="K161" s="866">
        <v>0</v>
      </c>
      <c r="L161" s="83">
        <v>0</v>
      </c>
      <c r="M161" s="64">
        <v>0</v>
      </c>
      <c r="N161" s="64">
        <v>0</v>
      </c>
      <c r="O161" s="64">
        <v>0</v>
      </c>
      <c r="P161" s="64">
        <v>0</v>
      </c>
      <c r="Q161" s="32">
        <v>0</v>
      </c>
      <c r="R161" s="822" t="s">
        <v>1456</v>
      </c>
      <c r="S161" s="795" t="s">
        <v>1456</v>
      </c>
      <c r="T161" s="795" t="s">
        <v>1456</v>
      </c>
      <c r="U161" s="795" t="s">
        <v>1456</v>
      </c>
      <c r="V161" s="795" t="s">
        <v>1456</v>
      </c>
      <c r="W161" s="795" t="s">
        <v>1456</v>
      </c>
      <c r="X161" s="795" t="s">
        <v>1456</v>
      </c>
      <c r="Y161" s="795" t="s">
        <v>1456</v>
      </c>
      <c r="Z161" s="795" t="s">
        <v>1456</v>
      </c>
      <c r="AA161" s="795" t="s">
        <v>1456</v>
      </c>
      <c r="AB161" s="795" t="s">
        <v>1456</v>
      </c>
      <c r="AC161" s="796" t="s">
        <v>1456</v>
      </c>
      <c r="AD161" s="794" t="s">
        <v>1456</v>
      </c>
      <c r="AE161" s="795" t="s">
        <v>1456</v>
      </c>
      <c r="AF161" s="795" t="s">
        <v>1456</v>
      </c>
      <c r="AG161" s="795" t="s">
        <v>1456</v>
      </c>
      <c r="AH161" s="795" t="s">
        <v>1456</v>
      </c>
      <c r="AI161" s="795" t="s">
        <v>1456</v>
      </c>
      <c r="AJ161" s="795" t="s">
        <v>1456</v>
      </c>
      <c r="AK161" s="795" t="s">
        <v>1456</v>
      </c>
      <c r="AL161" s="795" t="s">
        <v>1456</v>
      </c>
      <c r="AM161" s="795" t="s">
        <v>1456</v>
      </c>
      <c r="AN161" s="795" t="s">
        <v>1456</v>
      </c>
      <c r="AO161" s="796" t="s">
        <v>1456</v>
      </c>
    </row>
    <row r="162" spans="2:41" ht="14.4" hidden="1" customHeight="1" x14ac:dyDescent="0.3">
      <c r="B162" s="1068"/>
      <c r="C162" s="759" t="s">
        <v>759</v>
      </c>
      <c r="D162" s="405" t="s">
        <v>1442</v>
      </c>
      <c r="E162" s="436" t="s">
        <v>758</v>
      </c>
      <c r="F162" s="766" t="s">
        <v>758</v>
      </c>
      <c r="G162" s="751" t="e">
        <v>#VALUE!</v>
      </c>
      <c r="H162" s="41" t="s">
        <v>758</v>
      </c>
      <c r="I162" s="41" t="s">
        <v>758</v>
      </c>
      <c r="J162" s="807">
        <v>0</v>
      </c>
      <c r="K162" s="874">
        <v>0</v>
      </c>
      <c r="L162" s="88">
        <v>0</v>
      </c>
      <c r="M162" s="70">
        <v>0</v>
      </c>
      <c r="N162" s="70">
        <v>0</v>
      </c>
      <c r="O162" s="70">
        <v>0</v>
      </c>
      <c r="P162" s="70">
        <v>0</v>
      </c>
      <c r="Q162" s="34">
        <v>0</v>
      </c>
      <c r="R162" s="806"/>
      <c r="S162" s="807"/>
      <c r="T162" s="807"/>
      <c r="U162" s="807"/>
      <c r="V162" s="807"/>
      <c r="W162" s="807"/>
      <c r="X162" s="807"/>
      <c r="Y162" s="807"/>
      <c r="Z162" s="807"/>
      <c r="AA162" s="807"/>
      <c r="AB162" s="807"/>
      <c r="AC162" s="808"/>
      <c r="AD162" s="806"/>
      <c r="AE162" s="807"/>
      <c r="AF162" s="807"/>
      <c r="AG162" s="807"/>
      <c r="AH162" s="807"/>
      <c r="AI162" s="807"/>
      <c r="AJ162" s="807"/>
      <c r="AK162" s="807"/>
      <c r="AL162" s="807"/>
      <c r="AM162" s="807"/>
      <c r="AN162" s="807"/>
      <c r="AO162" s="808"/>
    </row>
    <row r="163" spans="2:41" ht="28.95" hidden="1" customHeight="1" x14ac:dyDescent="0.3">
      <c r="B163" s="1068"/>
      <c r="C163" s="759" t="s">
        <v>761</v>
      </c>
      <c r="D163" s="405" t="s">
        <v>1443</v>
      </c>
      <c r="E163" s="436" t="s">
        <v>758</v>
      </c>
      <c r="F163" s="766" t="s">
        <v>758</v>
      </c>
      <c r="G163" s="751" t="e">
        <v>#VALUE!</v>
      </c>
      <c r="H163" s="41" t="s">
        <v>758</v>
      </c>
      <c r="I163" s="41" t="s">
        <v>758</v>
      </c>
      <c r="J163" s="807">
        <v>0</v>
      </c>
      <c r="K163" s="874">
        <v>0</v>
      </c>
      <c r="L163" s="88">
        <v>0</v>
      </c>
      <c r="M163" s="70">
        <v>0</v>
      </c>
      <c r="N163" s="70">
        <v>0</v>
      </c>
      <c r="O163" s="70">
        <v>0</v>
      </c>
      <c r="P163" s="70">
        <v>0</v>
      </c>
      <c r="Q163" s="34">
        <v>0</v>
      </c>
      <c r="R163" s="806"/>
      <c r="S163" s="807"/>
      <c r="T163" s="807"/>
      <c r="U163" s="807"/>
      <c r="V163" s="807"/>
      <c r="W163" s="807"/>
      <c r="X163" s="807"/>
      <c r="Y163" s="807"/>
      <c r="Z163" s="807"/>
      <c r="AA163" s="807"/>
      <c r="AB163" s="807"/>
      <c r="AC163" s="808"/>
      <c r="AD163" s="806"/>
      <c r="AE163" s="807"/>
      <c r="AF163" s="807"/>
      <c r="AG163" s="807"/>
      <c r="AH163" s="807"/>
      <c r="AI163" s="807"/>
      <c r="AJ163" s="807"/>
      <c r="AK163" s="807"/>
      <c r="AL163" s="807"/>
      <c r="AM163" s="807"/>
      <c r="AN163" s="807"/>
      <c r="AO163" s="808"/>
    </row>
    <row r="164" spans="2:41" ht="28.95" hidden="1" customHeight="1" x14ac:dyDescent="0.3">
      <c r="B164" s="1068"/>
      <c r="C164" s="759" t="s">
        <v>763</v>
      </c>
      <c r="D164" s="405" t="s">
        <v>1444</v>
      </c>
      <c r="E164" s="436" t="s">
        <v>758</v>
      </c>
      <c r="F164" s="766" t="s">
        <v>758</v>
      </c>
      <c r="G164" s="751" t="e">
        <v>#VALUE!</v>
      </c>
      <c r="H164" s="41" t="s">
        <v>758</v>
      </c>
      <c r="I164" s="41" t="s">
        <v>758</v>
      </c>
      <c r="J164" s="807">
        <v>0</v>
      </c>
      <c r="K164" s="874">
        <v>0</v>
      </c>
      <c r="L164" s="88">
        <v>0</v>
      </c>
      <c r="M164" s="70">
        <v>0</v>
      </c>
      <c r="N164" s="70">
        <v>0</v>
      </c>
      <c r="O164" s="70">
        <v>0</v>
      </c>
      <c r="P164" s="70">
        <v>0</v>
      </c>
      <c r="Q164" s="34">
        <v>0</v>
      </c>
      <c r="R164" s="806"/>
      <c r="S164" s="807"/>
      <c r="T164" s="807"/>
      <c r="U164" s="807"/>
      <c r="V164" s="807"/>
      <c r="W164" s="807"/>
      <c r="X164" s="807"/>
      <c r="Y164" s="807"/>
      <c r="Z164" s="807"/>
      <c r="AA164" s="807"/>
      <c r="AB164" s="807"/>
      <c r="AC164" s="808"/>
      <c r="AD164" s="806"/>
      <c r="AE164" s="807"/>
      <c r="AF164" s="807"/>
      <c r="AG164" s="807"/>
      <c r="AH164" s="807"/>
      <c r="AI164" s="807"/>
      <c r="AJ164" s="807"/>
      <c r="AK164" s="807"/>
      <c r="AL164" s="807"/>
      <c r="AM164" s="807"/>
      <c r="AN164" s="807"/>
      <c r="AO164" s="808"/>
    </row>
    <row r="165" spans="2:41" ht="72" hidden="1" customHeight="1" x14ac:dyDescent="0.3">
      <c r="B165" s="1068"/>
      <c r="C165" s="759" t="s">
        <v>765</v>
      </c>
      <c r="D165" s="405" t="s">
        <v>1445</v>
      </c>
      <c r="E165" s="436" t="s">
        <v>758</v>
      </c>
      <c r="F165" s="766" t="s">
        <v>758</v>
      </c>
      <c r="G165" s="751" t="e">
        <v>#VALUE!</v>
      </c>
      <c r="H165" s="41" t="s">
        <v>758</v>
      </c>
      <c r="I165" s="41" t="s">
        <v>758</v>
      </c>
      <c r="J165" s="807">
        <v>0</v>
      </c>
      <c r="K165" s="874">
        <v>0</v>
      </c>
      <c r="L165" s="88">
        <v>0</v>
      </c>
      <c r="M165" s="70">
        <v>0</v>
      </c>
      <c r="N165" s="70">
        <v>0</v>
      </c>
      <c r="O165" s="70">
        <v>0</v>
      </c>
      <c r="P165" s="70">
        <v>0</v>
      </c>
      <c r="Q165" s="34">
        <v>0</v>
      </c>
      <c r="R165" s="806"/>
      <c r="S165" s="807"/>
      <c r="T165" s="807"/>
      <c r="U165" s="807"/>
      <c r="V165" s="807"/>
      <c r="W165" s="807"/>
      <c r="X165" s="807"/>
      <c r="Y165" s="807"/>
      <c r="Z165" s="807"/>
      <c r="AA165" s="807"/>
      <c r="AB165" s="807"/>
      <c r="AC165" s="808"/>
      <c r="AD165" s="806"/>
      <c r="AE165" s="807"/>
      <c r="AF165" s="807"/>
      <c r="AG165" s="807"/>
      <c r="AH165" s="807"/>
      <c r="AI165" s="807"/>
      <c r="AJ165" s="807"/>
      <c r="AK165" s="807"/>
      <c r="AL165" s="807"/>
      <c r="AM165" s="807"/>
      <c r="AN165" s="807"/>
      <c r="AO165" s="808"/>
    </row>
    <row r="166" spans="2:41" ht="57.6" x14ac:dyDescent="0.3">
      <c r="B166" s="1068"/>
      <c r="C166" s="759" t="s">
        <v>197</v>
      </c>
      <c r="D166" s="763" t="s">
        <v>1471</v>
      </c>
      <c r="E166" s="761">
        <v>46023</v>
      </c>
      <c r="F166" s="762">
        <v>46386</v>
      </c>
      <c r="G166" s="708">
        <v>363</v>
      </c>
      <c r="H166" s="39" t="s">
        <v>490</v>
      </c>
      <c r="I166" s="39" t="s">
        <v>491</v>
      </c>
      <c r="J166" s="795">
        <v>30785000</v>
      </c>
      <c r="K166" s="866">
        <v>470000</v>
      </c>
      <c r="L166" s="83">
        <v>0</v>
      </c>
      <c r="M166" s="64">
        <v>0</v>
      </c>
      <c r="N166" s="64">
        <v>0</v>
      </c>
      <c r="O166" s="64">
        <v>0</v>
      </c>
      <c r="P166" s="64">
        <v>0</v>
      </c>
      <c r="Q166" s="32">
        <v>0</v>
      </c>
      <c r="R166" s="745"/>
      <c r="S166" s="746"/>
      <c r="T166" s="746"/>
      <c r="U166" s="746"/>
      <c r="V166" s="746"/>
      <c r="W166" s="746"/>
      <c r="X166" s="746"/>
      <c r="Y166" s="746"/>
      <c r="Z166" s="746"/>
      <c r="AA166" s="746"/>
      <c r="AB166" s="746"/>
      <c r="AC166" s="812"/>
      <c r="AD166" s="794"/>
      <c r="AE166" s="795"/>
      <c r="AF166" s="795"/>
      <c r="AG166" s="795"/>
      <c r="AH166" s="795"/>
      <c r="AI166" s="795"/>
      <c r="AJ166" s="795"/>
      <c r="AK166" s="795"/>
      <c r="AL166" s="795"/>
      <c r="AM166" s="795"/>
      <c r="AN166" s="795"/>
      <c r="AO166" s="796"/>
    </row>
    <row r="167" spans="2:41" ht="71.400000000000006" hidden="1" customHeight="1" x14ac:dyDescent="0.3">
      <c r="B167" s="1068"/>
      <c r="C167" s="759" t="s">
        <v>767</v>
      </c>
      <c r="D167" s="405" t="s">
        <v>1446</v>
      </c>
      <c r="E167" s="436">
        <v>46023</v>
      </c>
      <c r="F167" s="766">
        <v>46386</v>
      </c>
      <c r="G167" s="751">
        <v>363</v>
      </c>
      <c r="H167" s="41" t="s">
        <v>490</v>
      </c>
      <c r="I167" s="41" t="s">
        <v>491</v>
      </c>
      <c r="J167" s="807">
        <v>0</v>
      </c>
      <c r="K167" s="874">
        <v>0</v>
      </c>
      <c r="L167" s="88">
        <v>0</v>
      </c>
      <c r="M167" s="70">
        <v>0</v>
      </c>
      <c r="N167" s="70">
        <v>0</v>
      </c>
      <c r="O167" s="70">
        <v>0</v>
      </c>
      <c r="P167" s="70">
        <v>0</v>
      </c>
      <c r="Q167" s="34">
        <v>0</v>
      </c>
      <c r="R167" s="806"/>
      <c r="S167" s="807"/>
      <c r="T167" s="807"/>
      <c r="U167" s="807"/>
      <c r="V167" s="807"/>
      <c r="W167" s="807"/>
      <c r="X167" s="807"/>
      <c r="Y167" s="807"/>
      <c r="Z167" s="807"/>
      <c r="AA167" s="807"/>
      <c r="AB167" s="807"/>
      <c r="AC167" s="808"/>
      <c r="AD167" s="806"/>
      <c r="AE167" s="807"/>
      <c r="AF167" s="807"/>
      <c r="AG167" s="807"/>
      <c r="AH167" s="807"/>
      <c r="AI167" s="807"/>
      <c r="AJ167" s="807"/>
      <c r="AK167" s="807"/>
      <c r="AL167" s="807"/>
      <c r="AM167" s="807"/>
      <c r="AN167" s="807"/>
      <c r="AO167" s="808"/>
    </row>
    <row r="168" spans="2:41" s="47" customFormat="1" ht="14.4" hidden="1" customHeight="1" x14ac:dyDescent="0.3">
      <c r="B168" s="1068"/>
      <c r="C168" s="767" t="s">
        <v>769</v>
      </c>
      <c r="D168" s="786" t="s">
        <v>770</v>
      </c>
      <c r="E168" s="774">
        <v>46023</v>
      </c>
      <c r="F168" s="787">
        <v>46386</v>
      </c>
      <c r="G168" s="752">
        <v>363</v>
      </c>
      <c r="H168" s="50" t="s">
        <v>490</v>
      </c>
      <c r="I168" s="50" t="s">
        <v>771</v>
      </c>
      <c r="J168" s="72">
        <v>0</v>
      </c>
      <c r="K168" s="81">
        <v>0</v>
      </c>
      <c r="L168" s="89">
        <v>0</v>
      </c>
      <c r="M168" s="72">
        <v>0</v>
      </c>
      <c r="N168" s="72">
        <v>0</v>
      </c>
      <c r="O168" s="72">
        <v>0</v>
      </c>
      <c r="P168" s="72">
        <v>0</v>
      </c>
      <c r="Q168" s="51">
        <v>0</v>
      </c>
      <c r="R168" s="523"/>
      <c r="S168" s="72"/>
      <c r="T168" s="72"/>
      <c r="U168" s="72"/>
      <c r="V168" s="72"/>
      <c r="W168" s="72"/>
      <c r="X168" s="72"/>
      <c r="Y168" s="72"/>
      <c r="Z168" s="72"/>
      <c r="AA168" s="72"/>
      <c r="AB168" s="72"/>
      <c r="AC168" s="51"/>
      <c r="AD168" s="89"/>
      <c r="AE168" s="72"/>
      <c r="AF168" s="72"/>
      <c r="AG168" s="72"/>
      <c r="AH168" s="72"/>
      <c r="AI168" s="72"/>
      <c r="AJ168" s="72"/>
      <c r="AK168" s="72"/>
      <c r="AL168" s="72"/>
      <c r="AM168" s="72"/>
      <c r="AN168" s="72"/>
      <c r="AO168" s="51"/>
    </row>
    <row r="169" spans="2:41" s="47" customFormat="1" ht="14.4" hidden="1" customHeight="1" x14ac:dyDescent="0.3">
      <c r="B169" s="1068"/>
      <c r="C169" s="767" t="s">
        <v>771</v>
      </c>
      <c r="D169" s="786" t="s">
        <v>772</v>
      </c>
      <c r="E169" s="774">
        <v>46023</v>
      </c>
      <c r="F169" s="787">
        <v>46386</v>
      </c>
      <c r="G169" s="752">
        <v>363</v>
      </c>
      <c r="H169" s="50" t="s">
        <v>769</v>
      </c>
      <c r="I169" s="50" t="s">
        <v>773</v>
      </c>
      <c r="J169" s="72">
        <v>0</v>
      </c>
      <c r="K169" s="81">
        <v>0</v>
      </c>
      <c r="L169" s="89">
        <v>0</v>
      </c>
      <c r="M169" s="72">
        <v>0</v>
      </c>
      <c r="N169" s="72">
        <v>0</v>
      </c>
      <c r="O169" s="72">
        <v>0</v>
      </c>
      <c r="P169" s="72">
        <v>0</v>
      </c>
      <c r="Q169" s="51">
        <v>0</v>
      </c>
      <c r="R169" s="523"/>
      <c r="S169" s="72"/>
      <c r="T169" s="72"/>
      <c r="U169" s="72"/>
      <c r="V169" s="72"/>
      <c r="W169" s="72"/>
      <c r="X169" s="72"/>
      <c r="Y169" s="72"/>
      <c r="Z169" s="72"/>
      <c r="AA169" s="72"/>
      <c r="AB169" s="72"/>
      <c r="AC169" s="51"/>
      <c r="AD169" s="89"/>
      <c r="AE169" s="72"/>
      <c r="AF169" s="72"/>
      <c r="AG169" s="72"/>
      <c r="AH169" s="72"/>
      <c r="AI169" s="72"/>
      <c r="AJ169" s="72"/>
      <c r="AK169" s="72"/>
      <c r="AL169" s="72"/>
      <c r="AM169" s="72"/>
      <c r="AN169" s="72"/>
      <c r="AO169" s="51"/>
    </row>
    <row r="170" spans="2:41" s="47" customFormat="1" ht="14.4" hidden="1" customHeight="1" x14ac:dyDescent="0.3">
      <c r="B170" s="1068"/>
      <c r="C170" s="767" t="s">
        <v>773</v>
      </c>
      <c r="D170" s="786" t="s">
        <v>774</v>
      </c>
      <c r="E170" s="774">
        <v>46023</v>
      </c>
      <c r="F170" s="787">
        <v>46386</v>
      </c>
      <c r="G170" s="752">
        <v>363</v>
      </c>
      <c r="H170" s="50" t="s">
        <v>771</v>
      </c>
      <c r="I170" s="50" t="s">
        <v>491</v>
      </c>
      <c r="J170" s="72">
        <v>0</v>
      </c>
      <c r="K170" s="81">
        <v>0</v>
      </c>
      <c r="L170" s="89">
        <v>0</v>
      </c>
      <c r="M170" s="72">
        <v>0</v>
      </c>
      <c r="N170" s="72">
        <v>0</v>
      </c>
      <c r="O170" s="72">
        <v>0</v>
      </c>
      <c r="P170" s="72">
        <v>0</v>
      </c>
      <c r="Q170" s="51">
        <v>0</v>
      </c>
      <c r="R170" s="523"/>
      <c r="S170" s="72"/>
      <c r="T170" s="72"/>
      <c r="U170" s="72"/>
      <c r="V170" s="72"/>
      <c r="W170" s="72"/>
      <c r="X170" s="72"/>
      <c r="Y170" s="72"/>
      <c r="Z170" s="72"/>
      <c r="AA170" s="72"/>
      <c r="AB170" s="72"/>
      <c r="AC170" s="51"/>
      <c r="AD170" s="89"/>
      <c r="AE170" s="72"/>
      <c r="AF170" s="72"/>
      <c r="AG170" s="72"/>
      <c r="AH170" s="72"/>
      <c r="AI170" s="72"/>
      <c r="AJ170" s="72"/>
      <c r="AK170" s="72"/>
      <c r="AL170" s="72"/>
      <c r="AM170" s="72"/>
      <c r="AN170" s="72"/>
      <c r="AO170" s="51"/>
    </row>
    <row r="171" spans="2:41" ht="57.6" hidden="1" customHeight="1" x14ac:dyDescent="0.3">
      <c r="B171" s="1068"/>
      <c r="C171" s="759" t="s">
        <v>775</v>
      </c>
      <c r="D171" s="405" t="s">
        <v>1447</v>
      </c>
      <c r="E171" s="436">
        <v>46023</v>
      </c>
      <c r="F171" s="766">
        <v>46386</v>
      </c>
      <c r="G171" s="751">
        <v>363</v>
      </c>
      <c r="H171" s="41" t="s">
        <v>490</v>
      </c>
      <c r="I171" s="41" t="s">
        <v>491</v>
      </c>
      <c r="J171" s="807">
        <v>0</v>
      </c>
      <c r="K171" s="874">
        <v>0</v>
      </c>
      <c r="L171" s="88">
        <v>0</v>
      </c>
      <c r="M171" s="70">
        <v>0</v>
      </c>
      <c r="N171" s="70">
        <v>0</v>
      </c>
      <c r="O171" s="70">
        <v>0</v>
      </c>
      <c r="P171" s="70">
        <v>0</v>
      </c>
      <c r="Q171" s="34">
        <v>0</v>
      </c>
      <c r="R171" s="806"/>
      <c r="S171" s="807"/>
      <c r="T171" s="807"/>
      <c r="U171" s="807"/>
      <c r="V171" s="807"/>
      <c r="W171" s="807"/>
      <c r="X171" s="807"/>
      <c r="Y171" s="807"/>
      <c r="Z171" s="807"/>
      <c r="AA171" s="807"/>
      <c r="AB171" s="807"/>
      <c r="AC171" s="808"/>
      <c r="AD171" s="806"/>
      <c r="AE171" s="807"/>
      <c r="AF171" s="807"/>
      <c r="AG171" s="807"/>
      <c r="AH171" s="807"/>
      <c r="AI171" s="807"/>
      <c r="AJ171" s="807"/>
      <c r="AK171" s="807"/>
      <c r="AL171" s="807"/>
      <c r="AM171" s="807"/>
      <c r="AN171" s="807"/>
      <c r="AO171" s="808"/>
    </row>
    <row r="172" spans="2:41" s="47" customFormat="1" ht="14.4" hidden="1" customHeight="1" x14ac:dyDescent="0.3">
      <c r="B172" s="1068"/>
      <c r="C172" s="767" t="s">
        <v>777</v>
      </c>
      <c r="D172" s="780" t="s">
        <v>778</v>
      </c>
      <c r="E172" s="774">
        <v>46023</v>
      </c>
      <c r="F172" s="787">
        <v>46386</v>
      </c>
      <c r="G172" s="752">
        <v>363</v>
      </c>
      <c r="H172" s="50" t="s">
        <v>490</v>
      </c>
      <c r="I172" s="50" t="s">
        <v>779</v>
      </c>
      <c r="J172" s="72">
        <v>0</v>
      </c>
      <c r="K172" s="81">
        <v>0</v>
      </c>
      <c r="L172" s="89">
        <v>0</v>
      </c>
      <c r="M172" s="72">
        <v>0</v>
      </c>
      <c r="N172" s="72">
        <v>0</v>
      </c>
      <c r="O172" s="72">
        <v>0</v>
      </c>
      <c r="P172" s="72">
        <v>0</v>
      </c>
      <c r="Q172" s="51">
        <v>0</v>
      </c>
      <c r="R172" s="89"/>
      <c r="S172" s="72"/>
      <c r="T172" s="72"/>
      <c r="U172" s="72"/>
      <c r="V172" s="72"/>
      <c r="W172" s="72"/>
      <c r="X172" s="72"/>
      <c r="Y172" s="72"/>
      <c r="Z172" s="72"/>
      <c r="AA172" s="72"/>
      <c r="AB172" s="72"/>
      <c r="AC172" s="51"/>
      <c r="AD172" s="89"/>
      <c r="AE172" s="72"/>
      <c r="AF172" s="72"/>
      <c r="AG172" s="72"/>
      <c r="AH172" s="72"/>
      <c r="AI172" s="72"/>
      <c r="AJ172" s="72"/>
      <c r="AK172" s="72"/>
      <c r="AL172" s="72"/>
      <c r="AM172" s="72"/>
      <c r="AN172" s="72"/>
      <c r="AO172" s="51"/>
    </row>
    <row r="173" spans="2:41" s="47" customFormat="1" ht="14.4" hidden="1" customHeight="1" x14ac:dyDescent="0.3">
      <c r="B173" s="1068"/>
      <c r="C173" s="767" t="s">
        <v>779</v>
      </c>
      <c r="D173" s="780" t="s">
        <v>780</v>
      </c>
      <c r="E173" s="774">
        <v>46023</v>
      </c>
      <c r="F173" s="787">
        <v>46386</v>
      </c>
      <c r="G173" s="752">
        <v>363</v>
      </c>
      <c r="H173" s="50" t="s">
        <v>777</v>
      </c>
      <c r="I173" s="50" t="s">
        <v>781</v>
      </c>
      <c r="J173" s="72">
        <v>0</v>
      </c>
      <c r="K173" s="81">
        <v>0</v>
      </c>
      <c r="L173" s="89">
        <v>0</v>
      </c>
      <c r="M173" s="72">
        <v>0</v>
      </c>
      <c r="N173" s="72">
        <v>0</v>
      </c>
      <c r="O173" s="72">
        <v>0</v>
      </c>
      <c r="P173" s="72">
        <v>0</v>
      </c>
      <c r="Q173" s="51">
        <v>0</v>
      </c>
      <c r="R173" s="89"/>
      <c r="S173" s="72"/>
      <c r="T173" s="72"/>
      <c r="U173" s="72"/>
      <c r="V173" s="72"/>
      <c r="W173" s="72"/>
      <c r="X173" s="72"/>
      <c r="Y173" s="72"/>
      <c r="Z173" s="72"/>
      <c r="AA173" s="72"/>
      <c r="AB173" s="72"/>
      <c r="AC173" s="51"/>
      <c r="AD173" s="89"/>
      <c r="AE173" s="72"/>
      <c r="AF173" s="72"/>
      <c r="AG173" s="72"/>
      <c r="AH173" s="72"/>
      <c r="AI173" s="72"/>
      <c r="AJ173" s="72"/>
      <c r="AK173" s="72"/>
      <c r="AL173" s="72"/>
      <c r="AM173" s="72"/>
      <c r="AN173" s="72"/>
      <c r="AO173" s="51"/>
    </row>
    <row r="174" spans="2:41" s="47" customFormat="1" ht="28.95" hidden="1" customHeight="1" x14ac:dyDescent="0.3">
      <c r="B174" s="1068"/>
      <c r="C174" s="767" t="s">
        <v>781</v>
      </c>
      <c r="D174" s="780" t="s">
        <v>782</v>
      </c>
      <c r="E174" s="774">
        <v>46023</v>
      </c>
      <c r="F174" s="787">
        <v>46386</v>
      </c>
      <c r="G174" s="752">
        <v>363</v>
      </c>
      <c r="H174" s="50" t="s">
        <v>779</v>
      </c>
      <c r="I174" s="50" t="s">
        <v>783</v>
      </c>
      <c r="J174" s="72">
        <v>0</v>
      </c>
      <c r="K174" s="81">
        <v>0</v>
      </c>
      <c r="L174" s="89">
        <v>0</v>
      </c>
      <c r="M174" s="72">
        <v>0</v>
      </c>
      <c r="N174" s="72">
        <v>0</v>
      </c>
      <c r="O174" s="72">
        <v>0</v>
      </c>
      <c r="P174" s="72">
        <v>0</v>
      </c>
      <c r="Q174" s="51">
        <v>0</v>
      </c>
      <c r="R174" s="89"/>
      <c r="S174" s="72"/>
      <c r="T174" s="72"/>
      <c r="U174" s="72"/>
      <c r="V174" s="72"/>
      <c r="W174" s="72"/>
      <c r="X174" s="72"/>
      <c r="Y174" s="72"/>
      <c r="Z174" s="72"/>
      <c r="AA174" s="72"/>
      <c r="AB174" s="72"/>
      <c r="AC174" s="51"/>
      <c r="AD174" s="89"/>
      <c r="AE174" s="72"/>
      <c r="AF174" s="72"/>
      <c r="AG174" s="72"/>
      <c r="AH174" s="72"/>
      <c r="AI174" s="72"/>
      <c r="AJ174" s="72"/>
      <c r="AK174" s="72"/>
      <c r="AL174" s="72"/>
      <c r="AM174" s="72"/>
      <c r="AN174" s="72"/>
      <c r="AO174" s="51"/>
    </row>
    <row r="175" spans="2:41" s="47" customFormat="1" ht="14.4" hidden="1" customHeight="1" x14ac:dyDescent="0.3">
      <c r="B175" s="1068"/>
      <c r="C175" s="767" t="s">
        <v>783</v>
      </c>
      <c r="D175" s="780" t="s">
        <v>784</v>
      </c>
      <c r="E175" s="774">
        <v>46023</v>
      </c>
      <c r="F175" s="787">
        <v>46386</v>
      </c>
      <c r="G175" s="752">
        <v>363</v>
      </c>
      <c r="H175" s="50" t="s">
        <v>781</v>
      </c>
      <c r="I175" s="50" t="s">
        <v>491</v>
      </c>
      <c r="J175" s="72">
        <v>0</v>
      </c>
      <c r="K175" s="81">
        <v>0</v>
      </c>
      <c r="L175" s="89">
        <v>0</v>
      </c>
      <c r="M175" s="72">
        <v>0</v>
      </c>
      <c r="N175" s="72">
        <v>0</v>
      </c>
      <c r="O175" s="72">
        <v>0</v>
      </c>
      <c r="P175" s="72">
        <v>0</v>
      </c>
      <c r="Q175" s="51">
        <v>0</v>
      </c>
      <c r="R175" s="89"/>
      <c r="S175" s="72"/>
      <c r="T175" s="72"/>
      <c r="U175" s="72"/>
      <c r="V175" s="72"/>
      <c r="W175" s="72"/>
      <c r="X175" s="72"/>
      <c r="Y175" s="72"/>
      <c r="Z175" s="72"/>
      <c r="AA175" s="72"/>
      <c r="AB175" s="72"/>
      <c r="AC175" s="51"/>
      <c r="AD175" s="89"/>
      <c r="AE175" s="72"/>
      <c r="AF175" s="72"/>
      <c r="AG175" s="72"/>
      <c r="AH175" s="72"/>
      <c r="AI175" s="72"/>
      <c r="AJ175" s="72"/>
      <c r="AK175" s="72"/>
      <c r="AL175" s="72"/>
      <c r="AM175" s="72"/>
      <c r="AN175" s="72"/>
      <c r="AO175" s="51"/>
    </row>
    <row r="176" spans="2:41" ht="72" hidden="1" customHeight="1" x14ac:dyDescent="0.3">
      <c r="B176" s="1068"/>
      <c r="C176" s="759" t="s">
        <v>785</v>
      </c>
      <c r="D176" s="405" t="s">
        <v>1448</v>
      </c>
      <c r="E176" s="436">
        <v>46023</v>
      </c>
      <c r="F176" s="766">
        <v>46386</v>
      </c>
      <c r="G176" s="751">
        <v>363</v>
      </c>
      <c r="H176" s="41" t="s">
        <v>490</v>
      </c>
      <c r="I176" s="41" t="s">
        <v>491</v>
      </c>
      <c r="J176" s="807">
        <v>0</v>
      </c>
      <c r="K176" s="874">
        <v>0</v>
      </c>
      <c r="L176" s="88">
        <v>0</v>
      </c>
      <c r="M176" s="70">
        <v>0</v>
      </c>
      <c r="N176" s="70">
        <v>0</v>
      </c>
      <c r="O176" s="70">
        <v>0</v>
      </c>
      <c r="P176" s="70">
        <v>0</v>
      </c>
      <c r="Q176" s="34">
        <v>0</v>
      </c>
      <c r="R176" s="806"/>
      <c r="S176" s="807"/>
      <c r="T176" s="807"/>
      <c r="U176" s="807"/>
      <c r="V176" s="807"/>
      <c r="W176" s="807"/>
      <c r="X176" s="807"/>
      <c r="Y176" s="807"/>
      <c r="Z176" s="807"/>
      <c r="AA176" s="807"/>
      <c r="AB176" s="807"/>
      <c r="AC176" s="808"/>
      <c r="AD176" s="806"/>
      <c r="AE176" s="807"/>
      <c r="AF176" s="807"/>
      <c r="AG176" s="807"/>
      <c r="AH176" s="807"/>
      <c r="AI176" s="807"/>
      <c r="AJ176" s="807"/>
      <c r="AK176" s="807"/>
      <c r="AL176" s="807"/>
      <c r="AM176" s="807"/>
      <c r="AN176" s="807"/>
      <c r="AO176" s="808"/>
    </row>
    <row r="177" spans="2:42" s="47" customFormat="1" ht="28.95" hidden="1" customHeight="1" x14ac:dyDescent="0.3">
      <c r="B177" s="1068"/>
      <c r="C177" s="767" t="s">
        <v>787</v>
      </c>
      <c r="D177" s="786" t="s">
        <v>788</v>
      </c>
      <c r="E177" s="774">
        <v>46023</v>
      </c>
      <c r="F177" s="787">
        <v>46386</v>
      </c>
      <c r="G177" s="752">
        <v>363</v>
      </c>
      <c r="H177" s="50" t="s">
        <v>490</v>
      </c>
      <c r="I177" s="50" t="s">
        <v>789</v>
      </c>
      <c r="J177" s="72">
        <v>0</v>
      </c>
      <c r="K177" s="81">
        <v>0</v>
      </c>
      <c r="L177" s="89">
        <v>0</v>
      </c>
      <c r="M177" s="72">
        <v>0</v>
      </c>
      <c r="N177" s="72">
        <v>0</v>
      </c>
      <c r="O177" s="72">
        <v>0</v>
      </c>
      <c r="P177" s="72">
        <v>0</v>
      </c>
      <c r="Q177" s="51">
        <v>0</v>
      </c>
      <c r="R177" s="89"/>
      <c r="S177" s="72"/>
      <c r="T177" s="72"/>
      <c r="U177" s="72"/>
      <c r="V177" s="72"/>
      <c r="W177" s="72"/>
      <c r="X177" s="72"/>
      <c r="Y177" s="72"/>
      <c r="Z177" s="72"/>
      <c r="AA177" s="72"/>
      <c r="AB177" s="72"/>
      <c r="AC177" s="51"/>
      <c r="AD177" s="89"/>
      <c r="AE177" s="72"/>
      <c r="AF177" s="72"/>
      <c r="AG177" s="72"/>
      <c r="AH177" s="72"/>
      <c r="AI177" s="72"/>
      <c r="AJ177" s="72"/>
      <c r="AK177" s="72"/>
      <c r="AL177" s="72"/>
      <c r="AM177" s="72"/>
      <c r="AN177" s="72"/>
      <c r="AO177" s="51"/>
    </row>
    <row r="178" spans="2:42" s="47" customFormat="1" ht="43.2" hidden="1" customHeight="1" x14ac:dyDescent="0.3">
      <c r="B178" s="1068"/>
      <c r="C178" s="767" t="s">
        <v>789</v>
      </c>
      <c r="D178" s="786" t="s">
        <v>790</v>
      </c>
      <c r="E178" s="774">
        <v>46023</v>
      </c>
      <c r="F178" s="787">
        <v>46386</v>
      </c>
      <c r="G178" s="752">
        <v>363</v>
      </c>
      <c r="H178" s="50" t="s">
        <v>787</v>
      </c>
      <c r="I178" s="50" t="s">
        <v>791</v>
      </c>
      <c r="J178" s="72">
        <v>0</v>
      </c>
      <c r="K178" s="81">
        <v>0</v>
      </c>
      <c r="L178" s="89">
        <v>0</v>
      </c>
      <c r="M178" s="72">
        <v>0</v>
      </c>
      <c r="N178" s="72">
        <v>0</v>
      </c>
      <c r="O178" s="72">
        <v>0</v>
      </c>
      <c r="P178" s="72">
        <v>0</v>
      </c>
      <c r="Q178" s="51">
        <v>0</v>
      </c>
      <c r="R178" s="89"/>
      <c r="S178" s="72"/>
      <c r="T178" s="72"/>
      <c r="U178" s="72"/>
      <c r="V178" s="72"/>
      <c r="W178" s="72"/>
      <c r="X178" s="72"/>
      <c r="Y178" s="72"/>
      <c r="Z178" s="72"/>
      <c r="AA178" s="72"/>
      <c r="AB178" s="72"/>
      <c r="AC178" s="51"/>
      <c r="AD178" s="89"/>
      <c r="AE178" s="72"/>
      <c r="AF178" s="72"/>
      <c r="AG178" s="72"/>
      <c r="AH178" s="72"/>
      <c r="AI178" s="72"/>
      <c r="AJ178" s="72"/>
      <c r="AK178" s="72"/>
      <c r="AL178" s="72"/>
      <c r="AM178" s="72"/>
      <c r="AN178" s="72"/>
      <c r="AO178" s="51"/>
    </row>
    <row r="179" spans="2:42" s="47" customFormat="1" ht="28.95" hidden="1" customHeight="1" x14ac:dyDescent="0.3">
      <c r="B179" s="1068"/>
      <c r="C179" s="767" t="s">
        <v>791</v>
      </c>
      <c r="D179" s="786" t="s">
        <v>792</v>
      </c>
      <c r="E179" s="774">
        <v>46023</v>
      </c>
      <c r="F179" s="787">
        <v>46386</v>
      </c>
      <c r="G179" s="752">
        <v>363</v>
      </c>
      <c r="H179" s="50" t="s">
        <v>789</v>
      </c>
      <c r="I179" s="50" t="s">
        <v>793</v>
      </c>
      <c r="J179" s="72">
        <v>0</v>
      </c>
      <c r="K179" s="81">
        <v>0</v>
      </c>
      <c r="L179" s="89">
        <v>0</v>
      </c>
      <c r="M179" s="72">
        <v>0</v>
      </c>
      <c r="N179" s="72">
        <v>0</v>
      </c>
      <c r="O179" s="72">
        <v>0</v>
      </c>
      <c r="P179" s="72">
        <v>0</v>
      </c>
      <c r="Q179" s="51">
        <v>0</v>
      </c>
      <c r="R179" s="89"/>
      <c r="S179" s="72"/>
      <c r="T179" s="72"/>
      <c r="U179" s="72"/>
      <c r="V179" s="72"/>
      <c r="W179" s="72"/>
      <c r="X179" s="72"/>
      <c r="Y179" s="72"/>
      <c r="Z179" s="72"/>
      <c r="AA179" s="72"/>
      <c r="AB179" s="72"/>
      <c r="AC179" s="51"/>
      <c r="AD179" s="89"/>
      <c r="AE179" s="72"/>
      <c r="AF179" s="72"/>
      <c r="AG179" s="72"/>
      <c r="AH179" s="72"/>
      <c r="AI179" s="72"/>
      <c r="AJ179" s="72"/>
      <c r="AK179" s="72"/>
      <c r="AL179" s="72"/>
      <c r="AM179" s="72"/>
      <c r="AN179" s="72"/>
      <c r="AO179" s="51"/>
    </row>
    <row r="180" spans="2:42" s="47" customFormat="1" ht="43.2" hidden="1" customHeight="1" x14ac:dyDescent="0.3">
      <c r="B180" s="1068"/>
      <c r="C180" s="767" t="s">
        <v>793</v>
      </c>
      <c r="D180" s="786" t="s">
        <v>794</v>
      </c>
      <c r="E180" s="774">
        <v>46023</v>
      </c>
      <c r="F180" s="787">
        <v>46386</v>
      </c>
      <c r="G180" s="752">
        <v>363</v>
      </c>
      <c r="H180" s="50" t="s">
        <v>791</v>
      </c>
      <c r="I180" s="50" t="s">
        <v>491</v>
      </c>
      <c r="J180" s="72">
        <v>0</v>
      </c>
      <c r="K180" s="81">
        <v>0</v>
      </c>
      <c r="L180" s="89">
        <v>0</v>
      </c>
      <c r="M180" s="72">
        <v>0</v>
      </c>
      <c r="N180" s="72">
        <v>0</v>
      </c>
      <c r="O180" s="72">
        <v>0</v>
      </c>
      <c r="P180" s="72">
        <v>0</v>
      </c>
      <c r="Q180" s="51">
        <v>0</v>
      </c>
      <c r="R180" s="89"/>
      <c r="S180" s="72"/>
      <c r="T180" s="72"/>
      <c r="U180" s="72"/>
      <c r="V180" s="72"/>
      <c r="W180" s="72"/>
      <c r="X180" s="72"/>
      <c r="Y180" s="72"/>
      <c r="Z180" s="72"/>
      <c r="AA180" s="72"/>
      <c r="AB180" s="72"/>
      <c r="AC180" s="51"/>
      <c r="AD180" s="89"/>
      <c r="AE180" s="72"/>
      <c r="AF180" s="72"/>
      <c r="AG180" s="72"/>
      <c r="AH180" s="72"/>
      <c r="AI180" s="72"/>
      <c r="AJ180" s="72"/>
      <c r="AK180" s="72"/>
      <c r="AL180" s="72"/>
      <c r="AM180" s="72"/>
      <c r="AN180" s="72"/>
      <c r="AO180" s="51"/>
    </row>
    <row r="181" spans="2:42" ht="28.8" x14ac:dyDescent="0.3">
      <c r="B181" s="1068"/>
      <c r="C181" s="759" t="s">
        <v>795</v>
      </c>
      <c r="D181" s="763" t="s">
        <v>1472</v>
      </c>
      <c r="E181" s="761">
        <v>46024</v>
      </c>
      <c r="F181" s="762">
        <v>46179</v>
      </c>
      <c r="G181" s="708">
        <v>155</v>
      </c>
      <c r="H181" s="39" t="s">
        <v>490</v>
      </c>
      <c r="I181" s="39" t="s">
        <v>491</v>
      </c>
      <c r="J181" s="795">
        <v>0</v>
      </c>
      <c r="K181" s="866">
        <v>0</v>
      </c>
      <c r="L181" s="83">
        <v>0</v>
      </c>
      <c r="M181" s="64">
        <v>0</v>
      </c>
      <c r="N181" s="64">
        <v>0</v>
      </c>
      <c r="O181" s="64">
        <v>0</v>
      </c>
      <c r="P181" s="64">
        <v>0</v>
      </c>
      <c r="Q181" s="32">
        <v>0</v>
      </c>
      <c r="R181" s="745"/>
      <c r="S181" s="746"/>
      <c r="T181" s="746"/>
      <c r="U181" s="746"/>
      <c r="V181" s="746"/>
      <c r="W181" s="746"/>
      <c r="X181" s="795"/>
      <c r="Y181" s="795"/>
      <c r="Z181" s="795"/>
      <c r="AA181" s="795"/>
      <c r="AB181" s="795"/>
      <c r="AC181" s="796"/>
      <c r="AD181" s="794"/>
      <c r="AE181" s="795"/>
      <c r="AF181" s="795"/>
      <c r="AG181" s="795"/>
      <c r="AH181" s="795"/>
      <c r="AI181" s="795"/>
      <c r="AJ181" s="795"/>
      <c r="AK181" s="795"/>
      <c r="AL181" s="795"/>
      <c r="AM181" s="795"/>
      <c r="AN181" s="795"/>
      <c r="AO181" s="796"/>
    </row>
    <row r="182" spans="2:42" ht="28.95" hidden="1" customHeight="1" x14ac:dyDescent="0.3">
      <c r="B182" s="1068"/>
      <c r="C182" s="759" t="s">
        <v>797</v>
      </c>
      <c r="D182" s="405" t="s">
        <v>1449</v>
      </c>
      <c r="E182" s="436">
        <v>46024</v>
      </c>
      <c r="F182" s="766">
        <v>46179</v>
      </c>
      <c r="G182" s="751">
        <v>155</v>
      </c>
      <c r="H182" s="41" t="s">
        <v>490</v>
      </c>
      <c r="I182" s="41" t="s">
        <v>491</v>
      </c>
      <c r="J182" s="807">
        <v>0</v>
      </c>
      <c r="K182" s="874">
        <v>0</v>
      </c>
      <c r="L182" s="88">
        <v>0</v>
      </c>
      <c r="M182" s="70">
        <v>0</v>
      </c>
      <c r="N182" s="70">
        <v>0</v>
      </c>
      <c r="O182" s="70">
        <v>0</v>
      </c>
      <c r="P182" s="70">
        <v>0</v>
      </c>
      <c r="Q182" s="34">
        <v>0</v>
      </c>
      <c r="R182" s="806"/>
      <c r="S182" s="807"/>
      <c r="T182" s="807"/>
      <c r="U182" s="807"/>
      <c r="V182" s="807"/>
      <c r="W182" s="807"/>
      <c r="X182" s="807"/>
      <c r="Y182" s="807"/>
      <c r="Z182" s="807"/>
      <c r="AA182" s="807"/>
      <c r="AB182" s="807"/>
      <c r="AC182" s="808"/>
      <c r="AD182" s="806"/>
      <c r="AE182" s="807"/>
      <c r="AF182" s="807"/>
      <c r="AG182" s="807"/>
      <c r="AH182" s="807"/>
      <c r="AI182" s="807"/>
      <c r="AJ182" s="807"/>
      <c r="AK182" s="807"/>
      <c r="AL182" s="807"/>
      <c r="AM182" s="807"/>
      <c r="AN182" s="807"/>
      <c r="AO182" s="808"/>
    </row>
    <row r="183" spans="2:42" s="47" customFormat="1" ht="28.95" hidden="1" customHeight="1" x14ac:dyDescent="0.3">
      <c r="B183" s="1068"/>
      <c r="C183" s="767" t="s">
        <v>799</v>
      </c>
      <c r="D183" s="779" t="s">
        <v>800</v>
      </c>
      <c r="E183" s="774">
        <v>46024</v>
      </c>
      <c r="F183" s="787">
        <v>46179</v>
      </c>
      <c r="G183" s="752">
        <v>155</v>
      </c>
      <c r="H183" s="50" t="s">
        <v>490</v>
      </c>
      <c r="I183" s="50" t="s">
        <v>491</v>
      </c>
      <c r="J183" s="72">
        <v>0</v>
      </c>
      <c r="K183" s="81">
        <v>0</v>
      </c>
      <c r="L183" s="89">
        <v>0</v>
      </c>
      <c r="M183" s="72">
        <v>0</v>
      </c>
      <c r="N183" s="72">
        <v>0</v>
      </c>
      <c r="O183" s="72">
        <v>0</v>
      </c>
      <c r="P183" s="72">
        <v>0</v>
      </c>
      <c r="Q183" s="51">
        <v>0</v>
      </c>
      <c r="R183" s="133"/>
      <c r="S183" s="131"/>
      <c r="T183" s="131"/>
      <c r="U183" s="131"/>
      <c r="V183" s="131"/>
      <c r="W183" s="131"/>
      <c r="X183" s="131"/>
      <c r="Y183" s="131"/>
      <c r="Z183" s="131"/>
      <c r="AA183" s="131"/>
      <c r="AB183" s="131"/>
      <c r="AC183" s="132"/>
      <c r="AD183" s="133"/>
      <c r="AE183" s="131"/>
      <c r="AF183" s="131"/>
      <c r="AG183" s="131"/>
      <c r="AH183" s="131"/>
      <c r="AI183" s="131"/>
      <c r="AJ183" s="131"/>
      <c r="AK183" s="131"/>
      <c r="AL183" s="131"/>
      <c r="AM183" s="131"/>
      <c r="AN183" s="131"/>
      <c r="AO183" s="132"/>
    </row>
    <row r="184" spans="2:42" ht="28.8" x14ac:dyDescent="0.3">
      <c r="B184" s="1068"/>
      <c r="C184" s="759" t="s">
        <v>207</v>
      </c>
      <c r="D184" s="763" t="s">
        <v>1473</v>
      </c>
      <c r="E184" s="761">
        <v>46024</v>
      </c>
      <c r="F184" s="762">
        <v>46751</v>
      </c>
      <c r="G184" s="708">
        <v>545</v>
      </c>
      <c r="H184" s="39" t="s">
        <v>490</v>
      </c>
      <c r="I184" s="39" t="s">
        <v>491</v>
      </c>
      <c r="J184" s="875">
        <v>72744300</v>
      </c>
      <c r="K184" s="866">
        <v>1110600</v>
      </c>
      <c r="L184" s="83">
        <v>0</v>
      </c>
      <c r="M184" s="64">
        <v>0</v>
      </c>
      <c r="N184" s="64">
        <v>0</v>
      </c>
      <c r="O184" s="64">
        <v>0</v>
      </c>
      <c r="P184" s="64">
        <v>0</v>
      </c>
      <c r="Q184" s="32">
        <v>0</v>
      </c>
      <c r="R184" s="745"/>
      <c r="S184" s="746"/>
      <c r="T184" s="746"/>
      <c r="U184" s="746"/>
      <c r="V184" s="746"/>
      <c r="W184" s="746"/>
      <c r="X184" s="746"/>
      <c r="Y184" s="746"/>
      <c r="Z184" s="746"/>
      <c r="AA184" s="746"/>
      <c r="AB184" s="746"/>
      <c r="AC184" s="812"/>
      <c r="AD184" s="745"/>
      <c r="AE184" s="746"/>
      <c r="AF184" s="746"/>
      <c r="AG184" s="746"/>
      <c r="AH184" s="746"/>
      <c r="AI184" s="746"/>
      <c r="AJ184" s="746"/>
      <c r="AK184" s="746"/>
      <c r="AL184" s="746"/>
      <c r="AM184" s="746"/>
      <c r="AN184" s="746"/>
      <c r="AO184" s="812"/>
    </row>
    <row r="185" spans="2:42" ht="29.4" thickBot="1" x14ac:dyDescent="0.35">
      <c r="B185" s="1069"/>
      <c r="C185" s="782" t="s">
        <v>221</v>
      </c>
      <c r="D185" s="783" t="s">
        <v>1474</v>
      </c>
      <c r="E185" s="784">
        <v>46024</v>
      </c>
      <c r="F185" s="785">
        <v>46751</v>
      </c>
      <c r="G185" s="707">
        <v>545</v>
      </c>
      <c r="H185" s="558" t="s">
        <v>490</v>
      </c>
      <c r="I185" s="558" t="s">
        <v>491</v>
      </c>
      <c r="J185" s="870">
        <v>54291377.350000001</v>
      </c>
      <c r="K185" s="871">
        <v>828875.99007633585</v>
      </c>
      <c r="L185" s="560">
        <v>0</v>
      </c>
      <c r="M185" s="559">
        <v>0</v>
      </c>
      <c r="N185" s="559">
        <v>0</v>
      </c>
      <c r="O185" s="559">
        <v>0</v>
      </c>
      <c r="P185" s="559">
        <v>0</v>
      </c>
      <c r="Q185" s="561">
        <v>0</v>
      </c>
      <c r="R185" s="816"/>
      <c r="S185" s="817"/>
      <c r="T185" s="817"/>
      <c r="U185" s="817"/>
      <c r="V185" s="817"/>
      <c r="W185" s="817"/>
      <c r="X185" s="817"/>
      <c r="Y185" s="817"/>
      <c r="Z185" s="817"/>
      <c r="AA185" s="817"/>
      <c r="AB185" s="817"/>
      <c r="AC185" s="818"/>
      <c r="AD185" s="816"/>
      <c r="AE185" s="817"/>
      <c r="AF185" s="817"/>
      <c r="AG185" s="817"/>
      <c r="AH185" s="817"/>
      <c r="AI185" s="817"/>
      <c r="AJ185" s="817"/>
      <c r="AK185" s="817"/>
      <c r="AL185" s="817"/>
      <c r="AM185" s="817"/>
      <c r="AN185" s="817"/>
      <c r="AO185" s="818"/>
    </row>
    <row r="186" spans="2:42" ht="28.8" hidden="1" x14ac:dyDescent="0.3">
      <c r="C186" s="897" t="s">
        <v>801</v>
      </c>
      <c r="D186" s="879" t="s">
        <v>802</v>
      </c>
      <c r="E186" s="880">
        <v>46023</v>
      </c>
      <c r="F186" s="881">
        <v>46752</v>
      </c>
      <c r="G186" s="898">
        <f>+F186-E186</f>
        <v>729</v>
      </c>
      <c r="H186" s="899" t="s">
        <v>490</v>
      </c>
      <c r="I186" s="899" t="s">
        <v>491</v>
      </c>
      <c r="J186" s="883">
        <v>163750000</v>
      </c>
      <c r="K186" s="882">
        <v>2500000</v>
      </c>
      <c r="L186" s="136">
        <v>0</v>
      </c>
      <c r="M186" s="134">
        <v>0</v>
      </c>
      <c r="N186" s="134">
        <v>0</v>
      </c>
      <c r="O186" s="134">
        <v>0</v>
      </c>
      <c r="P186" s="134">
        <v>0</v>
      </c>
      <c r="Q186" s="135">
        <v>0</v>
      </c>
      <c r="R186" s="900"/>
      <c r="S186" s="883"/>
      <c r="T186" s="883"/>
      <c r="U186" s="883"/>
      <c r="V186" s="883"/>
      <c r="W186" s="883"/>
      <c r="X186" s="883"/>
      <c r="Y186" s="883"/>
      <c r="Z186" s="883"/>
      <c r="AA186" s="883"/>
      <c r="AB186" s="883"/>
      <c r="AC186" s="884"/>
      <c r="AD186" s="900"/>
      <c r="AE186" s="883"/>
      <c r="AF186" s="883"/>
      <c r="AG186" s="883"/>
      <c r="AH186" s="883"/>
      <c r="AI186" s="883"/>
      <c r="AJ186" s="883"/>
      <c r="AK186" s="883"/>
      <c r="AL186" s="883"/>
      <c r="AM186" s="883"/>
      <c r="AN186" s="883"/>
      <c r="AO186" s="884"/>
    </row>
    <row r="187" spans="2:42" hidden="1" x14ac:dyDescent="0.3">
      <c r="C187" s="759" t="s">
        <v>803</v>
      </c>
      <c r="D187" s="760" t="s">
        <v>804</v>
      </c>
      <c r="E187" s="761">
        <v>46023</v>
      </c>
      <c r="F187" s="762">
        <v>46752</v>
      </c>
      <c r="G187" s="753">
        <f t="shared" ref="G187:G197" si="0">+F187-E187</f>
        <v>729</v>
      </c>
      <c r="H187" s="37" t="s">
        <v>490</v>
      </c>
      <c r="I187" s="37" t="s">
        <v>491</v>
      </c>
      <c r="J187" s="810">
        <v>163750000</v>
      </c>
      <c r="K187" s="876">
        <v>2500000</v>
      </c>
      <c r="L187" s="82">
        <v>0</v>
      </c>
      <c r="M187" s="62">
        <v>0</v>
      </c>
      <c r="N187" s="62">
        <v>0</v>
      </c>
      <c r="O187" s="62">
        <v>0</v>
      </c>
      <c r="P187" s="62">
        <v>0</v>
      </c>
      <c r="Q187" s="31">
        <v>0</v>
      </c>
      <c r="R187" s="809"/>
      <c r="S187" s="810"/>
      <c r="T187" s="810"/>
      <c r="U187" s="810"/>
      <c r="V187" s="810"/>
      <c r="W187" s="810"/>
      <c r="X187" s="810"/>
      <c r="Y187" s="810"/>
      <c r="Z187" s="810"/>
      <c r="AA187" s="810"/>
      <c r="AB187" s="810"/>
      <c r="AC187" s="811"/>
      <c r="AD187" s="809"/>
      <c r="AE187" s="810"/>
      <c r="AF187" s="810"/>
      <c r="AG187" s="810"/>
      <c r="AH187" s="810"/>
      <c r="AI187" s="810"/>
      <c r="AJ187" s="810"/>
      <c r="AK187" s="810"/>
      <c r="AL187" s="810"/>
      <c r="AM187" s="810"/>
      <c r="AN187" s="810"/>
      <c r="AO187" s="811"/>
    </row>
    <row r="188" spans="2:42" x14ac:dyDescent="0.3">
      <c r="B188" s="1067" t="s">
        <v>1487</v>
      </c>
      <c r="C188" s="1103" t="s">
        <v>1486</v>
      </c>
      <c r="D188" s="1104"/>
      <c r="E188" s="1104"/>
      <c r="F188" s="1104"/>
      <c r="G188" s="1104"/>
      <c r="H188" s="1104"/>
      <c r="I188" s="1104"/>
      <c r="J188" s="1104"/>
      <c r="K188" s="1104"/>
      <c r="L188" s="1104"/>
      <c r="M188" s="1104"/>
      <c r="N188" s="1104"/>
      <c r="O188" s="1104"/>
      <c r="P188" s="1104"/>
      <c r="Q188" s="1104"/>
      <c r="R188" s="1104"/>
      <c r="S188" s="1104"/>
      <c r="T188" s="1104"/>
      <c r="U188" s="1104"/>
      <c r="V188" s="1104"/>
      <c r="W188" s="1104"/>
      <c r="X188" s="1104"/>
      <c r="Y188" s="1104"/>
      <c r="Z188" s="1104"/>
      <c r="AA188" s="1104"/>
      <c r="AB188" s="1104"/>
      <c r="AC188" s="1104"/>
      <c r="AD188" s="1104"/>
      <c r="AE188" s="1104"/>
      <c r="AF188" s="1104"/>
      <c r="AG188" s="1104"/>
      <c r="AH188" s="1104"/>
      <c r="AI188" s="1104"/>
      <c r="AJ188" s="1104"/>
      <c r="AK188" s="1104"/>
      <c r="AL188" s="1104"/>
      <c r="AM188" s="1104"/>
      <c r="AN188" s="1104"/>
      <c r="AO188" s="1105"/>
    </row>
    <row r="189" spans="2:42" ht="55.2" customHeight="1" x14ac:dyDescent="0.3">
      <c r="B189" s="1068"/>
      <c r="C189" s="759" t="s">
        <v>240</v>
      </c>
      <c r="D189" s="763" t="s">
        <v>1475</v>
      </c>
      <c r="E189" s="761">
        <v>46024</v>
      </c>
      <c r="F189" s="762">
        <v>46752</v>
      </c>
      <c r="G189" s="708">
        <f t="shared" si="0"/>
        <v>728</v>
      </c>
      <c r="H189" s="39" t="s">
        <v>490</v>
      </c>
      <c r="I189" s="39" t="s">
        <v>491</v>
      </c>
      <c r="J189" s="795">
        <v>16375000</v>
      </c>
      <c r="K189" s="866">
        <v>250000</v>
      </c>
      <c r="L189" s="83">
        <f>+SUM(L190:L192)</f>
        <v>0</v>
      </c>
      <c r="M189" s="64">
        <f t="shared" ref="M189:Q189" si="1">+SUM(M190:M192)</f>
        <v>0</v>
      </c>
      <c r="N189" s="64">
        <f t="shared" si="1"/>
        <v>0</v>
      </c>
      <c r="O189" s="64">
        <f t="shared" si="1"/>
        <v>0</v>
      </c>
      <c r="P189" s="64">
        <f t="shared" si="1"/>
        <v>0</v>
      </c>
      <c r="Q189" s="32">
        <f t="shared" si="1"/>
        <v>0</v>
      </c>
      <c r="R189" s="745"/>
      <c r="S189" s="746"/>
      <c r="T189" s="746"/>
      <c r="U189" s="746"/>
      <c r="V189" s="746"/>
      <c r="W189" s="746"/>
      <c r="X189" s="746"/>
      <c r="Y189" s="746"/>
      <c r="Z189" s="746"/>
      <c r="AA189" s="746"/>
      <c r="AB189" s="746"/>
      <c r="AC189" s="812"/>
      <c r="AD189" s="745"/>
      <c r="AE189" s="746"/>
      <c r="AF189" s="746"/>
      <c r="AG189" s="746"/>
      <c r="AH189" s="746"/>
      <c r="AI189" s="746"/>
      <c r="AJ189" s="746"/>
      <c r="AK189" s="746"/>
      <c r="AL189" s="746"/>
      <c r="AM189" s="746"/>
      <c r="AN189" s="746"/>
      <c r="AO189" s="812"/>
      <c r="AP189" s="538"/>
    </row>
    <row r="190" spans="2:42" ht="43.2" hidden="1" customHeight="1" x14ac:dyDescent="0.3">
      <c r="B190" s="1068"/>
      <c r="C190" s="759" t="s">
        <v>805</v>
      </c>
      <c r="D190" s="405" t="s">
        <v>1450</v>
      </c>
      <c r="E190" s="436">
        <v>45839</v>
      </c>
      <c r="F190" s="766"/>
      <c r="G190" s="751">
        <f t="shared" si="0"/>
        <v>-45839</v>
      </c>
      <c r="H190" s="41"/>
      <c r="I190" s="41"/>
      <c r="J190" s="807">
        <v>0</v>
      </c>
      <c r="K190" s="874">
        <v>0</v>
      </c>
      <c r="L190" s="88">
        <v>0</v>
      </c>
      <c r="M190" s="70">
        <v>0</v>
      </c>
      <c r="N190" s="70">
        <v>0</v>
      </c>
      <c r="O190" s="70">
        <v>0</v>
      </c>
      <c r="P190" s="70">
        <v>0</v>
      </c>
      <c r="Q190" s="34">
        <v>0</v>
      </c>
      <c r="R190" s="823"/>
      <c r="S190" s="824"/>
      <c r="T190" s="824"/>
      <c r="U190" s="824"/>
      <c r="V190" s="824"/>
      <c r="W190" s="824"/>
      <c r="X190" s="824"/>
      <c r="Y190" s="824"/>
      <c r="Z190" s="824"/>
      <c r="AA190" s="824"/>
      <c r="AB190" s="824"/>
      <c r="AC190" s="825"/>
      <c r="AD190" s="823"/>
      <c r="AE190" s="824"/>
      <c r="AF190" s="824"/>
      <c r="AG190" s="824"/>
      <c r="AH190" s="824"/>
      <c r="AI190" s="824"/>
      <c r="AJ190" s="824"/>
      <c r="AK190" s="824"/>
      <c r="AL190" s="824"/>
      <c r="AM190" s="824"/>
      <c r="AN190" s="824"/>
      <c r="AO190" s="825"/>
    </row>
    <row r="191" spans="2:42" ht="28.95" hidden="1" customHeight="1" x14ac:dyDescent="0.3">
      <c r="B191" s="1068"/>
      <c r="C191" s="759" t="s">
        <v>808</v>
      </c>
      <c r="D191" s="405" t="s">
        <v>1451</v>
      </c>
      <c r="E191" s="436"/>
      <c r="F191" s="766"/>
      <c r="G191" s="751">
        <f t="shared" si="0"/>
        <v>0</v>
      </c>
      <c r="H191" s="41"/>
      <c r="I191" s="41"/>
      <c r="J191" s="807">
        <v>0</v>
      </c>
      <c r="K191" s="874">
        <v>0</v>
      </c>
      <c r="L191" s="88">
        <v>0</v>
      </c>
      <c r="M191" s="70">
        <v>0</v>
      </c>
      <c r="N191" s="70">
        <v>0</v>
      </c>
      <c r="O191" s="70">
        <v>0</v>
      </c>
      <c r="P191" s="70">
        <v>0</v>
      </c>
      <c r="Q191" s="34">
        <v>0</v>
      </c>
      <c r="R191" s="823"/>
      <c r="S191" s="824"/>
      <c r="T191" s="824"/>
      <c r="U191" s="824"/>
      <c r="V191" s="824"/>
      <c r="W191" s="824"/>
      <c r="X191" s="824"/>
      <c r="Y191" s="824"/>
      <c r="Z191" s="824"/>
      <c r="AA191" s="824"/>
      <c r="AB191" s="824"/>
      <c r="AC191" s="825"/>
      <c r="AD191" s="823"/>
      <c r="AE191" s="824"/>
      <c r="AF191" s="824"/>
      <c r="AG191" s="824"/>
      <c r="AH191" s="824"/>
      <c r="AI191" s="824"/>
      <c r="AJ191" s="824"/>
      <c r="AK191" s="824"/>
      <c r="AL191" s="824"/>
      <c r="AM191" s="824"/>
      <c r="AN191" s="824"/>
      <c r="AO191" s="825"/>
    </row>
    <row r="192" spans="2:42" ht="28.95" hidden="1" customHeight="1" x14ac:dyDescent="0.3">
      <c r="B192" s="1068"/>
      <c r="C192" s="759" t="s">
        <v>812</v>
      </c>
      <c r="D192" s="405" t="s">
        <v>1452</v>
      </c>
      <c r="E192" s="436"/>
      <c r="F192" s="766"/>
      <c r="G192" s="751">
        <f t="shared" si="0"/>
        <v>0</v>
      </c>
      <c r="H192" s="41"/>
      <c r="I192" s="41"/>
      <c r="J192" s="807">
        <v>0</v>
      </c>
      <c r="K192" s="874">
        <v>0</v>
      </c>
      <c r="L192" s="88">
        <v>0</v>
      </c>
      <c r="M192" s="70">
        <v>0</v>
      </c>
      <c r="N192" s="70">
        <v>0</v>
      </c>
      <c r="O192" s="70">
        <v>0</v>
      </c>
      <c r="P192" s="70">
        <v>0</v>
      </c>
      <c r="Q192" s="34">
        <v>0</v>
      </c>
      <c r="R192" s="823"/>
      <c r="S192" s="824"/>
      <c r="T192" s="824"/>
      <c r="U192" s="824"/>
      <c r="V192" s="824"/>
      <c r="W192" s="824"/>
      <c r="X192" s="824"/>
      <c r="Y192" s="824"/>
      <c r="Z192" s="824"/>
      <c r="AA192" s="824"/>
      <c r="AB192" s="824"/>
      <c r="AC192" s="825"/>
      <c r="AD192" s="823"/>
      <c r="AE192" s="824"/>
      <c r="AF192" s="824"/>
      <c r="AG192" s="824"/>
      <c r="AH192" s="824"/>
      <c r="AI192" s="824"/>
      <c r="AJ192" s="824"/>
      <c r="AK192" s="824"/>
      <c r="AL192" s="824"/>
      <c r="AM192" s="824"/>
      <c r="AN192" s="824"/>
      <c r="AO192" s="825"/>
    </row>
    <row r="193" spans="2:41" ht="71.400000000000006" customHeight="1" x14ac:dyDescent="0.3">
      <c r="B193" s="1068"/>
      <c r="C193" s="759" t="s">
        <v>814</v>
      </c>
      <c r="D193" s="763" t="s">
        <v>1476</v>
      </c>
      <c r="E193" s="761">
        <v>46024</v>
      </c>
      <c r="F193" s="762">
        <v>46752</v>
      </c>
      <c r="G193" s="708">
        <f t="shared" si="0"/>
        <v>728</v>
      </c>
      <c r="H193" s="39" t="s">
        <v>490</v>
      </c>
      <c r="I193" s="39" t="s">
        <v>491</v>
      </c>
      <c r="J193" s="795">
        <v>16375000</v>
      </c>
      <c r="K193" s="866">
        <v>250000</v>
      </c>
      <c r="L193" s="83">
        <v>0</v>
      </c>
      <c r="M193" s="64">
        <v>0</v>
      </c>
      <c r="N193" s="64">
        <v>0</v>
      </c>
      <c r="O193" s="64">
        <v>0</v>
      </c>
      <c r="P193" s="64">
        <v>0</v>
      </c>
      <c r="Q193" s="32">
        <v>0</v>
      </c>
      <c r="R193" s="745"/>
      <c r="S193" s="746"/>
      <c r="T193" s="746"/>
      <c r="U193" s="746"/>
      <c r="V193" s="746"/>
      <c r="W193" s="746"/>
      <c r="X193" s="746"/>
      <c r="Y193" s="746"/>
      <c r="Z193" s="746"/>
      <c r="AA193" s="746"/>
      <c r="AB193" s="746"/>
      <c r="AC193" s="812"/>
      <c r="AD193" s="745"/>
      <c r="AE193" s="746"/>
      <c r="AF193" s="746"/>
      <c r="AG193" s="746"/>
      <c r="AH193" s="746"/>
      <c r="AI193" s="746"/>
      <c r="AJ193" s="746"/>
      <c r="AK193" s="746"/>
      <c r="AL193" s="746"/>
      <c r="AM193" s="746"/>
      <c r="AN193" s="746"/>
      <c r="AO193" s="812"/>
    </row>
    <row r="194" spans="2:41" ht="43.2" hidden="1" customHeight="1" x14ac:dyDescent="0.3">
      <c r="B194" s="1068"/>
      <c r="C194" s="759" t="s">
        <v>816</v>
      </c>
      <c r="D194" s="405" t="s">
        <v>1453</v>
      </c>
      <c r="E194" s="436">
        <v>46024</v>
      </c>
      <c r="F194" s="766"/>
      <c r="G194" s="751">
        <f t="shared" si="0"/>
        <v>-46024</v>
      </c>
      <c r="H194" s="41"/>
      <c r="I194" s="41"/>
      <c r="J194" s="807">
        <v>0</v>
      </c>
      <c r="K194" s="874">
        <v>0</v>
      </c>
      <c r="L194" s="88">
        <v>0</v>
      </c>
      <c r="M194" s="70">
        <v>0</v>
      </c>
      <c r="N194" s="70">
        <v>0</v>
      </c>
      <c r="O194" s="70">
        <v>0</v>
      </c>
      <c r="P194" s="70">
        <v>0</v>
      </c>
      <c r="Q194" s="34">
        <v>0</v>
      </c>
      <c r="R194" s="823"/>
      <c r="S194" s="824"/>
      <c r="T194" s="824"/>
      <c r="U194" s="824"/>
      <c r="V194" s="824"/>
      <c r="W194" s="824"/>
      <c r="X194" s="824"/>
      <c r="Y194" s="824"/>
      <c r="Z194" s="824"/>
      <c r="AA194" s="824"/>
      <c r="AB194" s="824"/>
      <c r="AC194" s="825"/>
      <c r="AD194" s="823"/>
      <c r="AE194" s="824"/>
      <c r="AF194" s="824"/>
      <c r="AG194" s="824"/>
      <c r="AH194" s="824"/>
      <c r="AI194" s="824"/>
      <c r="AJ194" s="824"/>
      <c r="AK194" s="824"/>
      <c r="AL194" s="824"/>
      <c r="AM194" s="824"/>
      <c r="AN194" s="824"/>
      <c r="AO194" s="825"/>
    </row>
    <row r="195" spans="2:41" ht="43.2" hidden="1" customHeight="1" x14ac:dyDescent="0.3">
      <c r="B195" s="1068"/>
      <c r="C195" s="759" t="s">
        <v>819</v>
      </c>
      <c r="D195" s="405" t="s">
        <v>1454</v>
      </c>
      <c r="E195" s="436">
        <v>46024</v>
      </c>
      <c r="F195" s="766"/>
      <c r="G195" s="751">
        <f t="shared" si="0"/>
        <v>-46024</v>
      </c>
      <c r="H195" s="41"/>
      <c r="I195" s="41"/>
      <c r="J195" s="807">
        <v>0</v>
      </c>
      <c r="K195" s="874">
        <v>0</v>
      </c>
      <c r="L195" s="88">
        <v>0</v>
      </c>
      <c r="M195" s="70">
        <v>0</v>
      </c>
      <c r="N195" s="70">
        <v>0</v>
      </c>
      <c r="O195" s="70">
        <v>0</v>
      </c>
      <c r="P195" s="70">
        <v>0</v>
      </c>
      <c r="Q195" s="34">
        <v>0</v>
      </c>
      <c r="R195" s="823"/>
      <c r="S195" s="824"/>
      <c r="T195" s="824"/>
      <c r="U195" s="824"/>
      <c r="V195" s="824"/>
      <c r="W195" s="824"/>
      <c r="X195" s="824"/>
      <c r="Y195" s="824"/>
      <c r="Z195" s="824"/>
      <c r="AA195" s="824"/>
      <c r="AB195" s="824"/>
      <c r="AC195" s="825"/>
      <c r="AD195" s="823"/>
      <c r="AE195" s="824"/>
      <c r="AF195" s="824"/>
      <c r="AG195" s="824"/>
      <c r="AH195" s="824"/>
      <c r="AI195" s="824"/>
      <c r="AJ195" s="824"/>
      <c r="AK195" s="824"/>
      <c r="AL195" s="824"/>
      <c r="AM195" s="824"/>
      <c r="AN195" s="824"/>
      <c r="AO195" s="825"/>
    </row>
    <row r="196" spans="2:41" ht="28.95" hidden="1" customHeight="1" x14ac:dyDescent="0.3">
      <c r="B196" s="1068"/>
      <c r="C196" s="788" t="s">
        <v>823</v>
      </c>
      <c r="D196" s="789" t="s">
        <v>1455</v>
      </c>
      <c r="E196" s="790">
        <v>46024</v>
      </c>
      <c r="F196" s="791"/>
      <c r="G196" s="754">
        <f t="shared" si="0"/>
        <v>-46024</v>
      </c>
      <c r="H196" s="563"/>
      <c r="I196" s="563"/>
      <c r="J196" s="877">
        <v>0</v>
      </c>
      <c r="K196" s="878">
        <v>0</v>
      </c>
      <c r="L196" s="520">
        <v>0</v>
      </c>
      <c r="M196" s="521">
        <v>0</v>
      </c>
      <c r="N196" s="521">
        <v>0</v>
      </c>
      <c r="O196" s="521">
        <v>0</v>
      </c>
      <c r="P196" s="521">
        <v>0</v>
      </c>
      <c r="Q196" s="542">
        <v>0</v>
      </c>
      <c r="R196" s="826"/>
      <c r="S196" s="827"/>
      <c r="T196" s="827"/>
      <c r="U196" s="827"/>
      <c r="V196" s="827"/>
      <c r="W196" s="827"/>
      <c r="X196" s="827"/>
      <c r="Y196" s="827"/>
      <c r="Z196" s="827"/>
      <c r="AA196" s="827"/>
      <c r="AB196" s="827"/>
      <c r="AC196" s="828"/>
      <c r="AD196" s="826"/>
      <c r="AE196" s="827"/>
      <c r="AF196" s="827"/>
      <c r="AG196" s="827"/>
      <c r="AH196" s="827"/>
      <c r="AI196" s="827"/>
      <c r="AJ196" s="827"/>
      <c r="AK196" s="827"/>
      <c r="AL196" s="827"/>
      <c r="AM196" s="827"/>
      <c r="AN196" s="827"/>
      <c r="AO196" s="828"/>
    </row>
    <row r="197" spans="2:41" ht="57.6" customHeight="1" thickBot="1" x14ac:dyDescent="0.35">
      <c r="B197" s="1069"/>
      <c r="C197" s="782" t="s">
        <v>814</v>
      </c>
      <c r="D197" s="783" t="s">
        <v>1477</v>
      </c>
      <c r="E197" s="784">
        <v>46024</v>
      </c>
      <c r="F197" s="785">
        <v>46752</v>
      </c>
      <c r="G197" s="707">
        <f t="shared" si="0"/>
        <v>728</v>
      </c>
      <c r="H197" s="558" t="s">
        <v>490</v>
      </c>
      <c r="I197" s="558" t="s">
        <v>491</v>
      </c>
      <c r="J197" s="804">
        <v>131000000</v>
      </c>
      <c r="K197" s="871">
        <v>2000000</v>
      </c>
      <c r="L197" s="560">
        <v>0</v>
      </c>
      <c r="M197" s="559">
        <v>0</v>
      </c>
      <c r="N197" s="559">
        <v>0</v>
      </c>
      <c r="O197" s="559">
        <v>0</v>
      </c>
      <c r="P197" s="559">
        <v>0</v>
      </c>
      <c r="Q197" s="561">
        <v>0</v>
      </c>
      <c r="R197" s="816"/>
      <c r="S197" s="817"/>
      <c r="T197" s="817"/>
      <c r="U197" s="817"/>
      <c r="V197" s="817"/>
      <c r="W197" s="817"/>
      <c r="X197" s="817"/>
      <c r="Y197" s="817"/>
      <c r="Z197" s="817"/>
      <c r="AA197" s="817"/>
      <c r="AB197" s="817"/>
      <c r="AC197" s="818"/>
      <c r="AD197" s="816"/>
      <c r="AE197" s="817"/>
      <c r="AF197" s="817"/>
      <c r="AG197" s="817"/>
      <c r="AH197" s="817"/>
      <c r="AI197" s="817"/>
      <c r="AJ197" s="817"/>
      <c r="AK197" s="817"/>
      <c r="AL197" s="817"/>
      <c r="AM197" s="817"/>
      <c r="AN197" s="817"/>
      <c r="AO197" s="818"/>
    </row>
    <row r="198" spans="2:41" x14ac:dyDescent="0.3">
      <c r="AC198" s="584"/>
    </row>
  </sheetData>
  <mergeCells count="14">
    <mergeCell ref="C131:AO131"/>
    <mergeCell ref="C188:AO188"/>
    <mergeCell ref="B19:B185"/>
    <mergeCell ref="B188:B197"/>
    <mergeCell ref="E2:Z5"/>
    <mergeCell ref="E9:Z11"/>
    <mergeCell ref="E6:Z8"/>
    <mergeCell ref="AA2:AO11"/>
    <mergeCell ref="B2:D11"/>
    <mergeCell ref="C14:D14"/>
    <mergeCell ref="L13:Q13"/>
    <mergeCell ref="R13:AC13"/>
    <mergeCell ref="AD13:AO13"/>
    <mergeCell ref="C19:AO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701D-7100-410C-989E-283E2515DF05}">
  <dimension ref="B1:AL192"/>
  <sheetViews>
    <sheetView showGridLines="0" zoomScale="70" zoomScaleNormal="70" workbookViewId="0">
      <selection activeCell="G196" sqref="G196"/>
    </sheetView>
    <sheetView topLeftCell="A11" zoomScale="83" workbookViewId="1">
      <selection activeCell="H15" sqref="H15"/>
    </sheetView>
  </sheetViews>
  <sheetFormatPr baseColWidth="10" defaultColWidth="11.44140625" defaultRowHeight="14.4" x14ac:dyDescent="0.3"/>
  <cols>
    <col min="1" max="1" width="2" customWidth="1"/>
    <col min="2" max="2" width="22.44140625" customWidth="1"/>
    <col min="3" max="3" width="34.44140625" customWidth="1"/>
    <col min="4" max="7" width="23.109375" customWidth="1"/>
    <col min="8" max="8" width="51.33203125" customWidth="1"/>
    <col min="9" max="9" width="25.109375" bestFit="1" customWidth="1"/>
    <col min="10" max="10" width="24.5546875" bestFit="1" customWidth="1"/>
    <col min="11" max="11" width="20" customWidth="1"/>
    <col min="12" max="12" width="23.44140625" style="21" customWidth="1"/>
    <col min="13" max="13" width="14" bestFit="1" customWidth="1"/>
    <col min="14" max="16" width="15.33203125" bestFit="1" customWidth="1"/>
    <col min="17" max="19" width="14" bestFit="1" customWidth="1"/>
    <col min="20" max="20" width="15.33203125" bestFit="1" customWidth="1"/>
    <col min="21" max="21" width="14.88671875" bestFit="1" customWidth="1"/>
    <col min="22" max="24" width="14" bestFit="1" customWidth="1"/>
    <col min="25" max="25" width="14.88671875" bestFit="1" customWidth="1"/>
    <col min="26" max="26" width="15.33203125" bestFit="1" customWidth="1"/>
    <col min="27" max="27" width="14.88671875" bestFit="1" customWidth="1"/>
    <col min="28" max="29" width="15.33203125" bestFit="1" customWidth="1"/>
    <col min="30" max="30" width="14" bestFit="1" customWidth="1"/>
    <col min="31" max="32" width="15.33203125" bestFit="1" customWidth="1"/>
    <col min="33" max="33" width="14.88671875" bestFit="1" customWidth="1"/>
    <col min="34" max="36" width="14" bestFit="1" customWidth="1"/>
    <col min="37" max="37" width="0" hidden="1" customWidth="1"/>
    <col min="38" max="38" width="14" hidden="1" customWidth="1"/>
  </cols>
  <sheetData>
    <row r="1" spans="2:38" ht="15" thickBot="1" x14ac:dyDescent="0.35"/>
    <row r="2" spans="2:38" ht="14.4" customHeight="1" x14ac:dyDescent="0.3">
      <c r="B2" s="1106" t="e" vm="7">
        <v>#VALUE!</v>
      </c>
      <c r="C2" s="1107"/>
      <c r="D2" s="1107"/>
      <c r="E2" s="1108"/>
      <c r="F2" s="916"/>
      <c r="G2" s="916"/>
      <c r="H2" s="994" t="s">
        <v>1501</v>
      </c>
      <c r="I2" s="995"/>
      <c r="J2" s="995"/>
      <c r="K2" s="995"/>
      <c r="L2" s="996"/>
      <c r="M2" s="1131" t="e" vm="8">
        <v>#VALUE!</v>
      </c>
      <c r="N2" s="1132"/>
      <c r="O2" s="1132"/>
      <c r="P2" s="1133"/>
    </row>
    <row r="3" spans="2:38" ht="14.4" customHeight="1" x14ac:dyDescent="0.3">
      <c r="B3" s="1109"/>
      <c r="C3" s="1110"/>
      <c r="D3" s="1110"/>
      <c r="E3" s="1111"/>
      <c r="F3" s="918"/>
      <c r="G3" s="918"/>
      <c r="H3" s="997"/>
      <c r="I3" s="998"/>
      <c r="J3" s="998"/>
      <c r="K3" s="998"/>
      <c r="L3" s="999"/>
      <c r="M3" s="1134"/>
      <c r="N3" s="1135"/>
      <c r="O3" s="1135"/>
      <c r="P3" s="1136"/>
    </row>
    <row r="4" spans="2:38" ht="14.4" customHeight="1" x14ac:dyDescent="0.3">
      <c r="B4" s="1109"/>
      <c r="C4" s="1110"/>
      <c r="D4" s="1110"/>
      <c r="E4" s="1111"/>
      <c r="F4" s="918"/>
      <c r="G4" s="918"/>
      <c r="H4" s="997"/>
      <c r="I4" s="998"/>
      <c r="J4" s="998"/>
      <c r="K4" s="998"/>
      <c r="L4" s="999"/>
      <c r="M4" s="1134"/>
      <c r="N4" s="1135"/>
      <c r="O4" s="1135"/>
      <c r="P4" s="1136"/>
    </row>
    <row r="5" spans="2:38" x14ac:dyDescent="0.3">
      <c r="B5" s="1109"/>
      <c r="C5" s="1110"/>
      <c r="D5" s="1110"/>
      <c r="E5" s="1111"/>
      <c r="F5" s="918"/>
      <c r="G5" s="918"/>
      <c r="H5" s="997"/>
      <c r="I5" s="998"/>
      <c r="J5" s="998"/>
      <c r="K5" s="998"/>
      <c r="L5" s="999"/>
      <c r="M5" s="1134"/>
      <c r="N5" s="1135"/>
      <c r="O5" s="1135"/>
      <c r="P5" s="1136"/>
    </row>
    <row r="6" spans="2:38" x14ac:dyDescent="0.3">
      <c r="B6" s="1109"/>
      <c r="C6" s="1110"/>
      <c r="D6" s="1110"/>
      <c r="E6" s="1111"/>
      <c r="F6" s="918"/>
      <c r="G6" s="918"/>
      <c r="H6" s="1018" t="s">
        <v>1502</v>
      </c>
      <c r="I6" s="1019"/>
      <c r="J6" s="1019"/>
      <c r="K6" s="1019"/>
      <c r="L6" s="1020"/>
      <c r="M6" s="1134"/>
      <c r="N6" s="1135"/>
      <c r="O6" s="1135"/>
      <c r="P6" s="1136"/>
    </row>
    <row r="7" spans="2:38" x14ac:dyDescent="0.3">
      <c r="B7" s="1109"/>
      <c r="C7" s="1110"/>
      <c r="D7" s="1110"/>
      <c r="E7" s="1111"/>
      <c r="F7" s="918"/>
      <c r="G7" s="918"/>
      <c r="H7" s="1018" t="s">
        <v>1502</v>
      </c>
      <c r="I7" s="1019"/>
      <c r="J7" s="1019"/>
      <c r="K7" s="1019"/>
      <c r="L7" s="1020"/>
      <c r="M7" s="1134"/>
      <c r="N7" s="1135"/>
      <c r="O7" s="1135"/>
      <c r="P7" s="1136"/>
    </row>
    <row r="8" spans="2:38" x14ac:dyDescent="0.3">
      <c r="B8" s="1109"/>
      <c r="C8" s="1110"/>
      <c r="D8" s="1110"/>
      <c r="E8" s="1111"/>
      <c r="F8" s="918"/>
      <c r="G8" s="918"/>
      <c r="H8" s="1018" t="s">
        <v>1502</v>
      </c>
      <c r="I8" s="1019"/>
      <c r="J8" s="1019"/>
      <c r="K8" s="1019"/>
      <c r="L8" s="1020"/>
      <c r="M8" s="1134"/>
      <c r="N8" s="1135"/>
      <c r="O8" s="1135"/>
      <c r="P8" s="1136"/>
    </row>
    <row r="9" spans="2:38" x14ac:dyDescent="0.3">
      <c r="B9" s="1109"/>
      <c r="C9" s="1110"/>
      <c r="D9" s="1110"/>
      <c r="E9" s="1111"/>
      <c r="F9" s="918"/>
      <c r="G9" s="918"/>
      <c r="H9" s="1012" t="s">
        <v>1503</v>
      </c>
      <c r="I9" s="1013"/>
      <c r="J9" s="1013"/>
      <c r="K9" s="1013"/>
      <c r="L9" s="1014"/>
      <c r="M9" s="1134"/>
      <c r="N9" s="1135"/>
      <c r="O9" s="1135"/>
      <c r="P9" s="1136"/>
    </row>
    <row r="10" spans="2:38" x14ac:dyDescent="0.3">
      <c r="B10" s="1109"/>
      <c r="C10" s="1110"/>
      <c r="D10" s="1110"/>
      <c r="E10" s="1111"/>
      <c r="F10" s="918"/>
      <c r="G10" s="918"/>
      <c r="H10" s="1012"/>
      <c r="I10" s="1013"/>
      <c r="J10" s="1013"/>
      <c r="K10" s="1013"/>
      <c r="L10" s="1014"/>
      <c r="M10" s="1134"/>
      <c r="N10" s="1135"/>
      <c r="O10" s="1135"/>
      <c r="P10" s="1136"/>
    </row>
    <row r="11" spans="2:38" ht="15" thickBot="1" x14ac:dyDescent="0.35">
      <c r="B11" s="1112"/>
      <c r="C11" s="1113"/>
      <c r="D11" s="1113"/>
      <c r="E11" s="1114"/>
      <c r="F11" s="917"/>
      <c r="G11" s="917"/>
      <c r="H11" s="1015"/>
      <c r="I11" s="1016"/>
      <c r="J11" s="1016"/>
      <c r="K11" s="1016"/>
      <c r="L11" s="1017"/>
      <c r="M11" s="1137"/>
      <c r="N11" s="1138"/>
      <c r="O11" s="1138"/>
      <c r="P11" s="1139"/>
    </row>
    <row r="12" spans="2:38" ht="15" thickBot="1" x14ac:dyDescent="0.35"/>
    <row r="13" spans="2:38" ht="15" thickBot="1" x14ac:dyDescent="0.35">
      <c r="M13" s="939">
        <v>2026</v>
      </c>
      <c r="N13" s="940"/>
      <c r="O13" s="940"/>
      <c r="P13" s="940"/>
      <c r="Q13" s="940"/>
      <c r="R13" s="940"/>
      <c r="S13" s="940"/>
      <c r="T13" s="940"/>
      <c r="U13" s="940"/>
      <c r="V13" s="940"/>
      <c r="W13" s="940"/>
      <c r="X13" s="941"/>
      <c r="Y13" s="939">
        <v>2027</v>
      </c>
      <c r="Z13" s="940"/>
      <c r="AA13" s="940"/>
      <c r="AB13" s="940"/>
      <c r="AC13" s="940"/>
      <c r="AD13" s="940"/>
      <c r="AE13" s="940"/>
      <c r="AF13" s="940"/>
      <c r="AG13" s="940"/>
      <c r="AH13" s="940"/>
      <c r="AI13" s="940"/>
      <c r="AJ13" s="941"/>
    </row>
    <row r="14" spans="2:38" ht="29.4" thickBot="1" x14ac:dyDescent="0.35">
      <c r="B14" s="416" t="s">
        <v>0</v>
      </c>
      <c r="C14" s="417" t="s">
        <v>6</v>
      </c>
      <c r="D14" s="417" t="s">
        <v>1478</v>
      </c>
      <c r="E14" s="417" t="s">
        <v>1186</v>
      </c>
      <c r="F14" s="417" t="s">
        <v>1517</v>
      </c>
      <c r="G14" s="417" t="s">
        <v>1207</v>
      </c>
      <c r="H14" s="417" t="s">
        <v>7</v>
      </c>
      <c r="I14" s="417" t="s">
        <v>8</v>
      </c>
      <c r="J14" s="417" t="s">
        <v>1381</v>
      </c>
      <c r="K14" s="417" t="s">
        <v>9</v>
      </c>
      <c r="L14" s="418" t="s">
        <v>10</v>
      </c>
      <c r="M14" s="593" t="s">
        <v>11</v>
      </c>
      <c r="N14" s="594" t="s">
        <v>12</v>
      </c>
      <c r="O14" s="594" t="s">
        <v>13</v>
      </c>
      <c r="P14" s="594" t="s">
        <v>14</v>
      </c>
      <c r="Q14" s="594" t="s">
        <v>15</v>
      </c>
      <c r="R14" s="594" t="s">
        <v>16</v>
      </c>
      <c r="S14" s="594" t="s">
        <v>17</v>
      </c>
      <c r="T14" s="594" t="s">
        <v>18</v>
      </c>
      <c r="U14" s="594" t="s">
        <v>19</v>
      </c>
      <c r="V14" s="594" t="s">
        <v>20</v>
      </c>
      <c r="W14" s="594" t="s">
        <v>21</v>
      </c>
      <c r="X14" s="595" t="s">
        <v>22</v>
      </c>
      <c r="Y14" s="593" t="s">
        <v>11</v>
      </c>
      <c r="Z14" s="594" t="s">
        <v>12</v>
      </c>
      <c r="AA14" s="594" t="s">
        <v>13</v>
      </c>
      <c r="AB14" s="594" t="s">
        <v>14</v>
      </c>
      <c r="AC14" s="594" t="s">
        <v>15</v>
      </c>
      <c r="AD14" s="594" t="s">
        <v>16</v>
      </c>
      <c r="AE14" s="594" t="s">
        <v>17</v>
      </c>
      <c r="AF14" s="594" t="s">
        <v>18</v>
      </c>
      <c r="AG14" s="594" t="s">
        <v>19</v>
      </c>
      <c r="AH14" s="594" t="s">
        <v>20</v>
      </c>
      <c r="AI14" s="594" t="s">
        <v>21</v>
      </c>
      <c r="AJ14" s="595" t="s">
        <v>22</v>
      </c>
      <c r="AK14" s="1123" t="s">
        <v>487</v>
      </c>
      <c r="AL14" s="1124"/>
    </row>
    <row r="15" spans="2:38" ht="29.4" thickBot="1" x14ac:dyDescent="0.35">
      <c r="B15" s="398" t="s">
        <v>4</v>
      </c>
      <c r="C15" s="401" t="s">
        <v>24</v>
      </c>
      <c r="D15" s="401">
        <v>81141800</v>
      </c>
      <c r="E15" s="401" t="s">
        <v>1479</v>
      </c>
      <c r="F15" s="926" t="s">
        <v>1515</v>
      </c>
      <c r="G15" s="926"/>
      <c r="H15" s="404" t="s">
        <v>25</v>
      </c>
      <c r="I15" s="736">
        <v>50000</v>
      </c>
      <c r="J15" s="736">
        <v>35000</v>
      </c>
      <c r="K15" s="735">
        <v>46098</v>
      </c>
      <c r="L15" s="402">
        <v>46233</v>
      </c>
      <c r="M15" s="720"/>
      <c r="N15" s="721"/>
      <c r="O15" s="596">
        <v>7000</v>
      </c>
      <c r="P15" s="596">
        <v>0</v>
      </c>
      <c r="Q15" s="596">
        <v>17500</v>
      </c>
      <c r="R15" s="596">
        <v>0</v>
      </c>
      <c r="S15" s="596">
        <v>10500</v>
      </c>
      <c r="T15" s="721"/>
      <c r="U15" s="721"/>
      <c r="V15" s="721"/>
      <c r="W15" s="721"/>
      <c r="X15" s="722"/>
      <c r="Y15" s="848"/>
      <c r="Z15" s="721"/>
      <c r="AA15" s="721"/>
      <c r="AB15" s="721"/>
      <c r="AC15" s="721"/>
      <c r="AD15" s="721"/>
      <c r="AE15" s="721"/>
      <c r="AF15" s="721"/>
      <c r="AG15" s="721"/>
      <c r="AH15" s="721"/>
      <c r="AI15" s="721"/>
      <c r="AJ15" s="722"/>
      <c r="AK15" s="860" t="str">
        <f>IF(SUM(M15:AJ15)=J15,"Si","No")</f>
        <v>Si</v>
      </c>
      <c r="AL15" s="862">
        <f>+SUM(M15:AJ15)</f>
        <v>35000</v>
      </c>
    </row>
    <row r="16" spans="2:38" ht="15" thickBot="1" x14ac:dyDescent="0.35">
      <c r="B16" s="21"/>
      <c r="C16" s="21"/>
      <c r="D16" s="21"/>
      <c r="E16" s="21"/>
      <c r="F16" s="21"/>
      <c r="G16" s="21"/>
      <c r="H16" s="513" t="s">
        <v>26</v>
      </c>
      <c r="I16" s="514">
        <f>SUM(I15:I15)</f>
        <v>50000</v>
      </c>
      <c r="J16" s="514">
        <f>SUM(J15:J15)</f>
        <v>35000</v>
      </c>
      <c r="K16" s="400"/>
      <c r="M16" s="739">
        <f>+SUM(M15)</f>
        <v>0</v>
      </c>
      <c r="N16" s="738">
        <f t="shared" ref="N16:X16" si="0">+SUM(N15)</f>
        <v>0</v>
      </c>
      <c r="O16" s="738">
        <f t="shared" si="0"/>
        <v>7000</v>
      </c>
      <c r="P16" s="738">
        <f t="shared" si="0"/>
        <v>0</v>
      </c>
      <c r="Q16" s="738">
        <f t="shared" si="0"/>
        <v>17500</v>
      </c>
      <c r="R16" s="738">
        <f t="shared" si="0"/>
        <v>0</v>
      </c>
      <c r="S16" s="738">
        <f t="shared" si="0"/>
        <v>10500</v>
      </c>
      <c r="T16" s="738">
        <f t="shared" si="0"/>
        <v>0</v>
      </c>
      <c r="U16" s="738">
        <f t="shared" si="0"/>
        <v>0</v>
      </c>
      <c r="V16" s="738">
        <f t="shared" si="0"/>
        <v>0</v>
      </c>
      <c r="W16" s="738">
        <f t="shared" si="0"/>
        <v>0</v>
      </c>
      <c r="X16" s="853">
        <f t="shared" si="0"/>
        <v>0</v>
      </c>
      <c r="Y16" s="739">
        <f>+SUM(Y15)</f>
        <v>0</v>
      </c>
      <c r="Z16" s="738">
        <f t="shared" ref="Z16:AJ16" si="1">+SUM(Z15)</f>
        <v>0</v>
      </c>
      <c r="AA16" s="738">
        <f t="shared" si="1"/>
        <v>0</v>
      </c>
      <c r="AB16" s="738">
        <f t="shared" si="1"/>
        <v>0</v>
      </c>
      <c r="AC16" s="738">
        <f t="shared" si="1"/>
        <v>0</v>
      </c>
      <c r="AD16" s="738">
        <f t="shared" si="1"/>
        <v>0</v>
      </c>
      <c r="AE16" s="738">
        <f t="shared" si="1"/>
        <v>0</v>
      </c>
      <c r="AF16" s="738">
        <f t="shared" si="1"/>
        <v>0</v>
      </c>
      <c r="AG16" s="738">
        <f t="shared" si="1"/>
        <v>0</v>
      </c>
      <c r="AH16" s="738">
        <f t="shared" si="1"/>
        <v>0</v>
      </c>
      <c r="AI16" s="738">
        <f t="shared" si="1"/>
        <v>0</v>
      </c>
      <c r="AJ16" s="853">
        <f t="shared" si="1"/>
        <v>0</v>
      </c>
      <c r="AK16" s="861"/>
    </row>
    <row r="17" spans="2:38" ht="15" thickBot="1" x14ac:dyDescent="0.35">
      <c r="B17" s="21"/>
      <c r="C17" s="21"/>
      <c r="D17" s="21"/>
      <c r="E17" s="21"/>
      <c r="F17" s="21"/>
      <c r="G17" s="21"/>
      <c r="I17" s="399"/>
      <c r="J17" s="399"/>
      <c r="K17" s="400"/>
      <c r="M17" s="971">
        <f>+SUM(M16:X16)</f>
        <v>35000</v>
      </c>
      <c r="N17" s="972"/>
      <c r="O17" s="972"/>
      <c r="P17" s="972"/>
      <c r="Q17" s="972"/>
      <c r="R17" s="972"/>
      <c r="S17" s="972"/>
      <c r="T17" s="972"/>
      <c r="U17" s="972"/>
      <c r="V17" s="972"/>
      <c r="W17" s="972"/>
      <c r="X17" s="973"/>
      <c r="Y17" s="971">
        <f>+SUM(Y16:AJ16)</f>
        <v>0</v>
      </c>
      <c r="Z17" s="972"/>
      <c r="AA17" s="972"/>
      <c r="AB17" s="972"/>
      <c r="AC17" s="972"/>
      <c r="AD17" s="972"/>
      <c r="AE17" s="972"/>
      <c r="AF17" s="972"/>
      <c r="AG17" s="972"/>
      <c r="AH17" s="972"/>
      <c r="AI17" s="972"/>
      <c r="AJ17" s="973"/>
      <c r="AK17" s="860" t="str">
        <f>IF(SUM(M17:AJ17)=J16,"Si","No")</f>
        <v>Si</v>
      </c>
      <c r="AL17" s="862">
        <f t="shared" ref="AL17" si="2">+SUM(M17:AJ17)</f>
        <v>35000</v>
      </c>
    </row>
    <row r="18" spans="2:38" ht="34.950000000000003" customHeight="1" x14ac:dyDescent="0.3">
      <c r="B18" s="416" t="s">
        <v>0</v>
      </c>
      <c r="C18" s="417" t="s">
        <v>6</v>
      </c>
      <c r="D18" s="417" t="s">
        <v>1478</v>
      </c>
      <c r="E18" s="417" t="s">
        <v>1186</v>
      </c>
      <c r="F18" s="417" t="s">
        <v>1517</v>
      </c>
      <c r="G18" s="417"/>
      <c r="H18" s="417" t="s">
        <v>7</v>
      </c>
      <c r="I18" s="417" t="s">
        <v>8</v>
      </c>
      <c r="J18" s="417" t="s">
        <v>1381</v>
      </c>
      <c r="K18" s="417" t="s">
        <v>9</v>
      </c>
      <c r="L18" s="418" t="s">
        <v>10</v>
      </c>
      <c r="M18" s="946"/>
      <c r="N18" s="947"/>
      <c r="O18" s="947"/>
      <c r="P18" s="947"/>
      <c r="Q18" s="947"/>
      <c r="R18" s="947"/>
      <c r="S18" s="947"/>
      <c r="T18" s="947"/>
      <c r="U18" s="947"/>
      <c r="V18" s="947"/>
      <c r="W18" s="947"/>
      <c r="X18" s="948"/>
      <c r="Y18" s="946"/>
      <c r="Z18" s="947"/>
      <c r="AA18" s="947"/>
      <c r="AB18" s="947"/>
      <c r="AC18" s="947"/>
      <c r="AD18" s="947"/>
      <c r="AE18" s="947"/>
      <c r="AF18" s="947"/>
      <c r="AG18" s="947"/>
      <c r="AH18" s="947"/>
      <c r="AI18" s="947"/>
      <c r="AJ18" s="948"/>
    </row>
    <row r="19" spans="2:38" ht="28.8" x14ac:dyDescent="0.3">
      <c r="B19" s="407" t="s">
        <v>28</v>
      </c>
      <c r="C19" s="435" t="s">
        <v>30</v>
      </c>
      <c r="D19" s="435">
        <v>84111601</v>
      </c>
      <c r="E19" s="435" t="s">
        <v>1480</v>
      </c>
      <c r="F19" s="924" t="s">
        <v>1515</v>
      </c>
      <c r="G19" s="924"/>
      <c r="H19" s="405" t="s">
        <v>31</v>
      </c>
      <c r="I19" s="443">
        <v>100000</v>
      </c>
      <c r="J19" s="443">
        <v>100000</v>
      </c>
      <c r="K19" s="436">
        <v>46037</v>
      </c>
      <c r="L19" s="421">
        <v>46157</v>
      </c>
      <c r="M19" s="597">
        <v>20000</v>
      </c>
      <c r="N19" s="591">
        <v>20000</v>
      </c>
      <c r="O19" s="591">
        <v>20000</v>
      </c>
      <c r="P19" s="591">
        <v>20000</v>
      </c>
      <c r="Q19" s="591">
        <v>20000</v>
      </c>
      <c r="R19" s="146"/>
      <c r="S19" s="146"/>
      <c r="T19" s="146"/>
      <c r="U19" s="146"/>
      <c r="V19" s="146"/>
      <c r="W19" s="146"/>
      <c r="X19" s="724"/>
      <c r="Y19" s="849"/>
      <c r="Z19" s="146"/>
      <c r="AA19" s="146"/>
      <c r="AB19" s="146"/>
      <c r="AC19" s="146"/>
      <c r="AD19" s="146"/>
      <c r="AE19" s="146"/>
      <c r="AF19" s="146"/>
      <c r="AG19" s="146"/>
      <c r="AH19" s="146"/>
      <c r="AI19" s="146"/>
      <c r="AJ19" s="724"/>
      <c r="AK19" s="860" t="str">
        <f t="shared" ref="AK19:AK20" si="3">IF(SUM(M19:AJ19)=J19,"Si","No")</f>
        <v>Si</v>
      </c>
      <c r="AL19" s="862">
        <f t="shared" ref="AL19:AL20" si="4">+SUM(M19:AJ19)</f>
        <v>100000</v>
      </c>
    </row>
    <row r="20" spans="2:38" ht="29.4" thickBot="1" x14ac:dyDescent="0.35">
      <c r="B20" s="398" t="s">
        <v>28</v>
      </c>
      <c r="C20" s="401" t="s">
        <v>30</v>
      </c>
      <c r="D20" s="401">
        <v>84111601</v>
      </c>
      <c r="E20" s="401" t="s">
        <v>1480</v>
      </c>
      <c r="F20" s="926" t="s">
        <v>1515</v>
      </c>
      <c r="G20" s="926"/>
      <c r="H20" s="404" t="s">
        <v>32</v>
      </c>
      <c r="I20" s="403">
        <v>130000</v>
      </c>
      <c r="J20" s="403">
        <v>130000</v>
      </c>
      <c r="K20" s="448">
        <v>46154</v>
      </c>
      <c r="L20" s="402">
        <v>46245</v>
      </c>
      <c r="M20" s="723"/>
      <c r="N20" s="146"/>
      <c r="O20" s="146"/>
      <c r="P20" s="146"/>
      <c r="Q20" s="591">
        <v>32500</v>
      </c>
      <c r="R20" s="591">
        <v>32500</v>
      </c>
      <c r="S20" s="146"/>
      <c r="T20" s="146"/>
      <c r="U20" s="146"/>
      <c r="V20" s="146"/>
      <c r="W20" s="146"/>
      <c r="X20" s="724"/>
      <c r="Y20" s="849"/>
      <c r="Z20" s="146"/>
      <c r="AA20" s="146"/>
      <c r="AB20" s="146"/>
      <c r="AC20" s="591">
        <v>32500</v>
      </c>
      <c r="AD20" s="591">
        <v>32500</v>
      </c>
      <c r="AE20" s="146"/>
      <c r="AF20" s="146"/>
      <c r="AG20" s="146"/>
      <c r="AH20" s="146"/>
      <c r="AI20" s="146"/>
      <c r="AJ20" s="724"/>
      <c r="AK20" s="860" t="str">
        <f t="shared" si="3"/>
        <v>Si</v>
      </c>
      <c r="AL20" s="862">
        <f t="shared" si="4"/>
        <v>130000</v>
      </c>
    </row>
    <row r="21" spans="2:38" ht="15" thickBot="1" x14ac:dyDescent="0.35">
      <c r="B21" s="21"/>
      <c r="C21" s="21"/>
      <c r="D21" s="21"/>
      <c r="E21" s="21"/>
      <c r="F21" s="21"/>
      <c r="G21" s="21"/>
      <c r="H21" s="462" t="s">
        <v>26</v>
      </c>
      <c r="I21" s="463">
        <f>SUM(I19:I20)</f>
        <v>230000</v>
      </c>
      <c r="J21" s="463">
        <f>SUM(J19:J20)</f>
        <v>230000</v>
      </c>
      <c r="K21" s="464"/>
      <c r="M21" s="739">
        <f>+SUM(M19:M20)</f>
        <v>20000</v>
      </c>
      <c r="N21" s="738">
        <f t="shared" ref="N21:X21" si="5">+SUM(N19:N20)</f>
        <v>20000</v>
      </c>
      <c r="O21" s="738">
        <f t="shared" si="5"/>
        <v>20000</v>
      </c>
      <c r="P21" s="738">
        <f t="shared" si="5"/>
        <v>20000</v>
      </c>
      <c r="Q21" s="738">
        <f t="shared" si="5"/>
        <v>52500</v>
      </c>
      <c r="R21" s="738">
        <f t="shared" si="5"/>
        <v>32500</v>
      </c>
      <c r="S21" s="738">
        <f t="shared" si="5"/>
        <v>0</v>
      </c>
      <c r="T21" s="738">
        <f t="shared" si="5"/>
        <v>0</v>
      </c>
      <c r="U21" s="738">
        <f t="shared" si="5"/>
        <v>0</v>
      </c>
      <c r="V21" s="738">
        <f t="shared" si="5"/>
        <v>0</v>
      </c>
      <c r="W21" s="738">
        <f t="shared" si="5"/>
        <v>0</v>
      </c>
      <c r="X21" s="853">
        <f t="shared" si="5"/>
        <v>0</v>
      </c>
      <c r="Y21" s="739">
        <f>+SUM(Y19:Y20)</f>
        <v>0</v>
      </c>
      <c r="Z21" s="738">
        <f t="shared" ref="Z21:AJ21" si="6">+SUM(Z19:Z20)</f>
        <v>0</v>
      </c>
      <c r="AA21" s="738">
        <f t="shared" si="6"/>
        <v>0</v>
      </c>
      <c r="AB21" s="738">
        <f t="shared" si="6"/>
        <v>0</v>
      </c>
      <c r="AC21" s="738">
        <f t="shared" si="6"/>
        <v>32500</v>
      </c>
      <c r="AD21" s="738">
        <f t="shared" si="6"/>
        <v>32500</v>
      </c>
      <c r="AE21" s="738">
        <f t="shared" si="6"/>
        <v>0</v>
      </c>
      <c r="AF21" s="738">
        <f t="shared" si="6"/>
        <v>0</v>
      </c>
      <c r="AG21" s="738">
        <f t="shared" si="6"/>
        <v>0</v>
      </c>
      <c r="AH21" s="738">
        <f t="shared" si="6"/>
        <v>0</v>
      </c>
      <c r="AI21" s="738">
        <f t="shared" si="6"/>
        <v>0</v>
      </c>
      <c r="AJ21" s="853">
        <f t="shared" si="6"/>
        <v>0</v>
      </c>
    </row>
    <row r="22" spans="2:38" ht="15" thickBot="1" x14ac:dyDescent="0.35">
      <c r="M22" s="971">
        <f>+SUM(M21:X21)</f>
        <v>165000</v>
      </c>
      <c r="N22" s="972"/>
      <c r="O22" s="972"/>
      <c r="P22" s="972"/>
      <c r="Q22" s="972"/>
      <c r="R22" s="972"/>
      <c r="S22" s="972"/>
      <c r="T22" s="972"/>
      <c r="U22" s="972"/>
      <c r="V22" s="972"/>
      <c r="W22" s="972"/>
      <c r="X22" s="973"/>
      <c r="Y22" s="971">
        <f>+SUM(Y21:AJ21)</f>
        <v>65000</v>
      </c>
      <c r="Z22" s="972"/>
      <c r="AA22" s="972"/>
      <c r="AB22" s="972"/>
      <c r="AC22" s="972"/>
      <c r="AD22" s="972"/>
      <c r="AE22" s="972"/>
      <c r="AF22" s="972"/>
      <c r="AG22" s="972"/>
      <c r="AH22" s="972"/>
      <c r="AI22" s="972"/>
      <c r="AJ22" s="973"/>
      <c r="AK22" s="860" t="str">
        <f>IF(SUM(M22:AJ22)=J21,"Si","No")</f>
        <v>Si</v>
      </c>
      <c r="AL22" s="862">
        <f t="shared" ref="AL22" si="7">+SUM(M22:AJ22)</f>
        <v>230000</v>
      </c>
    </row>
    <row r="23" spans="2:38" ht="34.950000000000003" customHeight="1" x14ac:dyDescent="0.3">
      <c r="B23" s="416" t="s">
        <v>0</v>
      </c>
      <c r="C23" s="417" t="s">
        <v>6</v>
      </c>
      <c r="D23" s="417" t="s">
        <v>1478</v>
      </c>
      <c r="E23" s="417" t="s">
        <v>1186</v>
      </c>
      <c r="F23" s="417" t="s">
        <v>1517</v>
      </c>
      <c r="G23" s="417"/>
      <c r="H23" s="417" t="s">
        <v>7</v>
      </c>
      <c r="I23" s="417" t="s">
        <v>8</v>
      </c>
      <c r="J23" s="417" t="s">
        <v>1381</v>
      </c>
      <c r="K23" s="417" t="s">
        <v>9</v>
      </c>
      <c r="L23" s="418" t="s">
        <v>10</v>
      </c>
      <c r="M23" s="946"/>
      <c r="N23" s="947"/>
      <c r="O23" s="947"/>
      <c r="P23" s="947"/>
      <c r="Q23" s="947"/>
      <c r="R23" s="947"/>
      <c r="S23" s="947"/>
      <c r="T23" s="947"/>
      <c r="U23" s="947"/>
      <c r="V23" s="947"/>
      <c r="W23" s="947"/>
      <c r="X23" s="948"/>
      <c r="Y23" s="946"/>
      <c r="Z23" s="947"/>
      <c r="AA23" s="947"/>
      <c r="AB23" s="947"/>
      <c r="AC23" s="947"/>
      <c r="AD23" s="947"/>
      <c r="AE23" s="947"/>
      <c r="AF23" s="947"/>
      <c r="AG23" s="947"/>
      <c r="AH23" s="947"/>
      <c r="AI23" s="947"/>
      <c r="AJ23" s="948"/>
    </row>
    <row r="24" spans="2:38" ht="28.8" x14ac:dyDescent="0.3">
      <c r="B24" s="407" t="s">
        <v>39</v>
      </c>
      <c r="C24" s="435" t="s">
        <v>40</v>
      </c>
      <c r="D24" s="435">
        <v>84111601</v>
      </c>
      <c r="E24" s="435" t="s">
        <v>1480</v>
      </c>
      <c r="F24" s="924" t="s">
        <v>1515</v>
      </c>
      <c r="G24" s="924"/>
      <c r="H24" s="405" t="s">
        <v>41</v>
      </c>
      <c r="I24" s="406">
        <v>1000000</v>
      </c>
      <c r="J24" s="406">
        <v>1000000</v>
      </c>
      <c r="K24" s="436">
        <v>46252</v>
      </c>
      <c r="L24" s="421">
        <v>46617</v>
      </c>
      <c r="M24" s="723"/>
      <c r="N24" s="146"/>
      <c r="O24" s="146"/>
      <c r="P24" s="146"/>
      <c r="Q24" s="146"/>
      <c r="R24" s="146"/>
      <c r="S24" s="146"/>
      <c r="T24" s="591">
        <v>200000</v>
      </c>
      <c r="U24" s="591">
        <v>0</v>
      </c>
      <c r="V24" s="591">
        <v>0</v>
      </c>
      <c r="W24" s="591">
        <v>0</v>
      </c>
      <c r="X24" s="598">
        <v>0</v>
      </c>
      <c r="Y24" s="850">
        <v>0</v>
      </c>
      <c r="Z24" s="717">
        <v>500000</v>
      </c>
      <c r="AA24" s="591">
        <v>0</v>
      </c>
      <c r="AB24" s="591">
        <v>0</v>
      </c>
      <c r="AC24" s="591">
        <v>0</v>
      </c>
      <c r="AD24" s="591">
        <v>0</v>
      </c>
      <c r="AE24" s="591">
        <v>0</v>
      </c>
      <c r="AF24" s="717">
        <v>300000</v>
      </c>
      <c r="AG24" s="146"/>
      <c r="AH24" s="146"/>
      <c r="AI24" s="146"/>
      <c r="AJ24" s="724"/>
      <c r="AK24" s="860" t="str">
        <f t="shared" ref="AK24:AK26" si="8">IF(SUM(M24:AJ24)=J24,"Si","No")</f>
        <v>Si</v>
      </c>
      <c r="AL24" s="862">
        <f t="shared" ref="AL24:AL26" si="9">+SUM(M24:AJ24)</f>
        <v>1000000</v>
      </c>
    </row>
    <row r="25" spans="2:38" ht="28.8" x14ac:dyDescent="0.3">
      <c r="B25" s="407" t="s">
        <v>39</v>
      </c>
      <c r="C25" s="435" t="s">
        <v>40</v>
      </c>
      <c r="D25" s="435">
        <v>84111601</v>
      </c>
      <c r="E25" s="435" t="s">
        <v>1480</v>
      </c>
      <c r="F25" s="924" t="s">
        <v>1515</v>
      </c>
      <c r="G25" s="924"/>
      <c r="H25" s="405" t="s">
        <v>42</v>
      </c>
      <c r="I25" s="406">
        <v>1200000</v>
      </c>
      <c r="J25" s="406">
        <v>1200000</v>
      </c>
      <c r="K25" s="436">
        <v>46022</v>
      </c>
      <c r="L25" s="421">
        <v>46112</v>
      </c>
      <c r="M25" s="846"/>
      <c r="N25" s="591">
        <v>400000</v>
      </c>
      <c r="O25" s="591">
        <v>400000</v>
      </c>
      <c r="P25" s="591">
        <v>400000</v>
      </c>
      <c r="Q25" s="146"/>
      <c r="R25" s="146"/>
      <c r="S25" s="146"/>
      <c r="T25" s="146"/>
      <c r="U25" s="146"/>
      <c r="V25" s="146"/>
      <c r="W25" s="146"/>
      <c r="X25" s="724"/>
      <c r="Y25" s="849"/>
      <c r="Z25" s="146"/>
      <c r="AA25" s="146"/>
      <c r="AB25" s="146"/>
      <c r="AC25" s="146"/>
      <c r="AD25" s="146"/>
      <c r="AE25" s="146"/>
      <c r="AF25" s="146"/>
      <c r="AG25" s="146"/>
      <c r="AH25" s="146"/>
      <c r="AI25" s="146"/>
      <c r="AJ25" s="724"/>
      <c r="AK25" s="860" t="str">
        <f t="shared" si="8"/>
        <v>Si</v>
      </c>
      <c r="AL25" s="862">
        <f t="shared" si="9"/>
        <v>1200000</v>
      </c>
    </row>
    <row r="26" spans="2:38" ht="42" customHeight="1" thickBot="1" x14ac:dyDescent="0.35">
      <c r="B26" s="398" t="s">
        <v>43</v>
      </c>
      <c r="C26" s="401" t="s">
        <v>24</v>
      </c>
      <c r="D26" s="401">
        <v>80101504</v>
      </c>
      <c r="E26" s="401" t="s">
        <v>1481</v>
      </c>
      <c r="F26" s="926" t="s">
        <v>1515</v>
      </c>
      <c r="G26" s="926"/>
      <c r="H26" s="404" t="s">
        <v>44</v>
      </c>
      <c r="I26" s="408">
        <v>33333.33</v>
      </c>
      <c r="J26" s="410">
        <v>33333.33</v>
      </c>
      <c r="K26" s="448">
        <v>46076</v>
      </c>
      <c r="L26" s="402">
        <v>46256</v>
      </c>
      <c r="M26" s="723"/>
      <c r="N26" s="591">
        <v>6666.6660000000011</v>
      </c>
      <c r="O26" s="591">
        <v>0</v>
      </c>
      <c r="P26" s="591">
        <v>0</v>
      </c>
      <c r="Q26" s="591">
        <v>16666.665000000001</v>
      </c>
      <c r="R26" s="591">
        <v>0</v>
      </c>
      <c r="S26" s="591">
        <v>0</v>
      </c>
      <c r="T26" s="591">
        <v>9999.9989999999998</v>
      </c>
      <c r="U26" s="146"/>
      <c r="V26" s="146"/>
      <c r="W26" s="146"/>
      <c r="X26" s="724"/>
      <c r="Y26" s="849"/>
      <c r="Z26" s="146"/>
      <c r="AA26" s="146"/>
      <c r="AB26" s="146"/>
      <c r="AC26" s="146"/>
      <c r="AD26" s="146"/>
      <c r="AE26" s="146"/>
      <c r="AF26" s="146"/>
      <c r="AG26" s="146"/>
      <c r="AH26" s="146"/>
      <c r="AI26" s="146"/>
      <c r="AJ26" s="724"/>
      <c r="AK26" s="860" t="str">
        <f t="shared" si="8"/>
        <v>Si</v>
      </c>
      <c r="AL26" s="862">
        <f t="shared" si="9"/>
        <v>33333.33</v>
      </c>
    </row>
    <row r="27" spans="2:38" ht="15" thickBot="1" x14ac:dyDescent="0.35">
      <c r="B27" s="21"/>
      <c r="C27" s="21"/>
      <c r="E27" s="21"/>
      <c r="F27" s="21"/>
      <c r="G27" s="21"/>
      <c r="H27" s="462" t="s">
        <v>26</v>
      </c>
      <c r="I27" s="463">
        <f>SUM(I24:I26)</f>
        <v>2233333.33</v>
      </c>
      <c r="J27" s="463">
        <f>SUM(J24:J26)</f>
        <v>2233333.33</v>
      </c>
      <c r="K27" s="464"/>
      <c r="M27" s="739">
        <f>+SUM(M24:M26)</f>
        <v>0</v>
      </c>
      <c r="N27" s="738">
        <f t="shared" ref="N27:X27" si="10">+SUM(N24:N26)</f>
        <v>406666.66600000003</v>
      </c>
      <c r="O27" s="738">
        <f t="shared" si="10"/>
        <v>400000</v>
      </c>
      <c r="P27" s="738">
        <f t="shared" si="10"/>
        <v>400000</v>
      </c>
      <c r="Q27" s="738">
        <f t="shared" si="10"/>
        <v>16666.665000000001</v>
      </c>
      <c r="R27" s="738">
        <f t="shared" si="10"/>
        <v>0</v>
      </c>
      <c r="S27" s="738">
        <f t="shared" si="10"/>
        <v>0</v>
      </c>
      <c r="T27" s="738">
        <f t="shared" si="10"/>
        <v>209999.99900000001</v>
      </c>
      <c r="U27" s="738">
        <f t="shared" si="10"/>
        <v>0</v>
      </c>
      <c r="V27" s="738">
        <f t="shared" si="10"/>
        <v>0</v>
      </c>
      <c r="W27" s="738">
        <f t="shared" si="10"/>
        <v>0</v>
      </c>
      <c r="X27" s="853">
        <f t="shared" si="10"/>
        <v>0</v>
      </c>
      <c r="Y27" s="739">
        <f>+SUM(Y24:Y26)</f>
        <v>0</v>
      </c>
      <c r="Z27" s="738">
        <f t="shared" ref="Z27:AJ27" si="11">+SUM(Z24:Z26)</f>
        <v>500000</v>
      </c>
      <c r="AA27" s="738">
        <f t="shared" si="11"/>
        <v>0</v>
      </c>
      <c r="AB27" s="738">
        <f t="shared" si="11"/>
        <v>0</v>
      </c>
      <c r="AC27" s="738">
        <f t="shared" si="11"/>
        <v>0</v>
      </c>
      <c r="AD27" s="738">
        <f t="shared" si="11"/>
        <v>0</v>
      </c>
      <c r="AE27" s="738">
        <f t="shared" si="11"/>
        <v>0</v>
      </c>
      <c r="AF27" s="738">
        <f t="shared" si="11"/>
        <v>300000</v>
      </c>
      <c r="AG27" s="738">
        <f t="shared" si="11"/>
        <v>0</v>
      </c>
      <c r="AH27" s="738">
        <f t="shared" si="11"/>
        <v>0</v>
      </c>
      <c r="AI27" s="738">
        <f t="shared" si="11"/>
        <v>0</v>
      </c>
      <c r="AJ27" s="853">
        <f t="shared" si="11"/>
        <v>0</v>
      </c>
    </row>
    <row r="28" spans="2:38" ht="15" thickBot="1" x14ac:dyDescent="0.35">
      <c r="M28" s="971">
        <f>+SUM(M27:X27)</f>
        <v>1433333.33</v>
      </c>
      <c r="N28" s="972"/>
      <c r="O28" s="972"/>
      <c r="P28" s="972"/>
      <c r="Q28" s="972"/>
      <c r="R28" s="972"/>
      <c r="S28" s="972"/>
      <c r="T28" s="972"/>
      <c r="U28" s="972"/>
      <c r="V28" s="972"/>
      <c r="W28" s="972"/>
      <c r="X28" s="973"/>
      <c r="Y28" s="971">
        <f>+SUM(Y27:AJ27)</f>
        <v>800000</v>
      </c>
      <c r="Z28" s="972"/>
      <c r="AA28" s="972"/>
      <c r="AB28" s="972"/>
      <c r="AC28" s="972"/>
      <c r="AD28" s="972"/>
      <c r="AE28" s="972"/>
      <c r="AF28" s="972"/>
      <c r="AG28" s="972"/>
      <c r="AH28" s="972"/>
      <c r="AI28" s="972"/>
      <c r="AJ28" s="973"/>
      <c r="AK28" s="860" t="str">
        <f>IF(SUM(M28:AJ28)=J27,"Si","No")</f>
        <v>Si</v>
      </c>
      <c r="AL28" s="862">
        <f t="shared" ref="AL28" si="12">+SUM(M28:AJ28)</f>
        <v>2233333.33</v>
      </c>
    </row>
    <row r="29" spans="2:38" ht="29.4" customHeight="1" x14ac:dyDescent="0.3">
      <c r="B29" s="416" t="s">
        <v>0</v>
      </c>
      <c r="C29" s="417" t="s">
        <v>6</v>
      </c>
      <c r="D29" s="417" t="s">
        <v>1478</v>
      </c>
      <c r="E29" s="417" t="s">
        <v>1186</v>
      </c>
      <c r="F29" s="417" t="s">
        <v>1517</v>
      </c>
      <c r="G29" s="417"/>
      <c r="H29" s="417" t="s">
        <v>7</v>
      </c>
      <c r="I29" s="417" t="s">
        <v>8</v>
      </c>
      <c r="J29" s="417" t="s">
        <v>1381</v>
      </c>
      <c r="K29" s="417" t="s">
        <v>9</v>
      </c>
      <c r="L29" s="418" t="s">
        <v>10</v>
      </c>
      <c r="M29" s="946"/>
      <c r="N29" s="947"/>
      <c r="O29" s="947"/>
      <c r="P29" s="947"/>
      <c r="Q29" s="947"/>
      <c r="R29" s="947"/>
      <c r="S29" s="947"/>
      <c r="T29" s="947"/>
      <c r="U29" s="947"/>
      <c r="V29" s="947"/>
      <c r="W29" s="947"/>
      <c r="X29" s="948"/>
      <c r="Y29" s="946"/>
      <c r="Z29" s="947"/>
      <c r="AA29" s="947"/>
      <c r="AB29" s="947"/>
      <c r="AC29" s="947"/>
      <c r="AD29" s="947"/>
      <c r="AE29" s="947"/>
      <c r="AF29" s="947"/>
      <c r="AG29" s="947"/>
      <c r="AH29" s="947"/>
      <c r="AI29" s="947"/>
      <c r="AJ29" s="948"/>
    </row>
    <row r="30" spans="2:38" ht="28.8" x14ac:dyDescent="0.3">
      <c r="B30" s="407" t="s">
        <v>1386</v>
      </c>
      <c r="C30" s="435" t="s">
        <v>24</v>
      </c>
      <c r="D30" s="435">
        <v>80111608</v>
      </c>
      <c r="E30" s="435" t="s">
        <v>1482</v>
      </c>
      <c r="F30" s="924" t="s">
        <v>1515</v>
      </c>
      <c r="G30" s="924"/>
      <c r="H30" s="405" t="s">
        <v>47</v>
      </c>
      <c r="I30" s="406">
        <v>41666.67</v>
      </c>
      <c r="J30" s="406">
        <v>41666.67</v>
      </c>
      <c r="K30" s="436">
        <v>46108</v>
      </c>
      <c r="L30" s="421">
        <v>46473</v>
      </c>
      <c r="M30" s="723"/>
      <c r="N30" s="146"/>
      <c r="O30" s="591">
        <v>8333.3340000000007</v>
      </c>
      <c r="P30" s="591">
        <v>0</v>
      </c>
      <c r="Q30" s="591">
        <v>0</v>
      </c>
      <c r="R30" s="591">
        <v>0</v>
      </c>
      <c r="S30" s="591">
        <v>0</v>
      </c>
      <c r="T30" s="591">
        <v>16666.668000000001</v>
      </c>
      <c r="U30" s="591">
        <v>0</v>
      </c>
      <c r="V30" s="591">
        <v>0</v>
      </c>
      <c r="W30" s="591">
        <v>0</v>
      </c>
      <c r="X30" s="598">
        <v>0</v>
      </c>
      <c r="Y30" s="850">
        <v>0</v>
      </c>
      <c r="Z30" s="591">
        <v>0</v>
      </c>
      <c r="AA30" s="591">
        <v>16666.668000000001</v>
      </c>
      <c r="AB30" s="146"/>
      <c r="AC30" s="146"/>
      <c r="AD30" s="146"/>
      <c r="AE30" s="146"/>
      <c r="AF30" s="146"/>
      <c r="AG30" s="146"/>
      <c r="AH30" s="146"/>
      <c r="AI30" s="146"/>
      <c r="AJ30" s="724"/>
      <c r="AK30" s="860" t="str">
        <f>IF(SUM(M30:AJ30)=J30,"Si","No")</f>
        <v>Si</v>
      </c>
      <c r="AL30" s="862">
        <f>+SUM(M30:AJ30)</f>
        <v>41666.67</v>
      </c>
    </row>
    <row r="31" spans="2:38" x14ac:dyDescent="0.3">
      <c r="B31" s="407" t="s">
        <v>45</v>
      </c>
      <c r="C31" s="435" t="s">
        <v>24</v>
      </c>
      <c r="D31" s="435">
        <v>80111608</v>
      </c>
      <c r="E31" s="435" t="s">
        <v>1482</v>
      </c>
      <c r="F31" s="925" t="s">
        <v>1516</v>
      </c>
      <c r="G31" s="925"/>
      <c r="H31" s="405" t="s">
        <v>48</v>
      </c>
      <c r="I31" s="406">
        <v>70000</v>
      </c>
      <c r="J31" s="406">
        <v>25000</v>
      </c>
      <c r="K31" s="436">
        <v>46446</v>
      </c>
      <c r="L31" s="421">
        <v>46566</v>
      </c>
      <c r="M31" s="723"/>
      <c r="N31" s="146"/>
      <c r="O31" s="146"/>
      <c r="P31" s="146"/>
      <c r="Q31" s="146"/>
      <c r="R31" s="146"/>
      <c r="S31" s="710"/>
      <c r="T31" s="710"/>
      <c r="U31" s="710"/>
      <c r="V31" s="710"/>
      <c r="W31" s="710"/>
      <c r="X31" s="712"/>
      <c r="Y31" s="847"/>
      <c r="Z31" s="591">
        <v>5000</v>
      </c>
      <c r="AA31" s="591">
        <v>0</v>
      </c>
      <c r="AB31" s="591">
        <v>12500</v>
      </c>
      <c r="AC31" s="591">
        <v>0</v>
      </c>
      <c r="AD31" s="591">
        <v>7500</v>
      </c>
      <c r="AE31" s="710"/>
      <c r="AF31" s="710"/>
      <c r="AG31" s="710"/>
      <c r="AH31" s="146"/>
      <c r="AI31" s="146"/>
      <c r="AJ31" s="724"/>
      <c r="AK31" s="860" t="str">
        <f t="shared" ref="AK31:AK32" si="13">IF(SUM(M31:AJ31)=J31,"Si","No")</f>
        <v>Si</v>
      </c>
      <c r="AL31" s="862">
        <f t="shared" ref="AL31:AL32" si="14">+SUM(M31:AJ31)</f>
        <v>25000</v>
      </c>
    </row>
    <row r="32" spans="2:38" ht="55.5" customHeight="1" thickBot="1" x14ac:dyDescent="0.35">
      <c r="B32" s="398" t="s">
        <v>1497</v>
      </c>
      <c r="C32" s="401" t="s">
        <v>24</v>
      </c>
      <c r="D32" s="401">
        <v>80111501</v>
      </c>
      <c r="E32" s="401" t="s">
        <v>1203</v>
      </c>
      <c r="F32" s="927" t="s">
        <v>1516</v>
      </c>
      <c r="G32" s="927"/>
      <c r="H32" s="404" t="s">
        <v>49</v>
      </c>
      <c r="I32" s="408">
        <v>10000</v>
      </c>
      <c r="J32" s="408">
        <v>10000</v>
      </c>
      <c r="K32" s="448">
        <v>46102</v>
      </c>
      <c r="L32" s="402">
        <v>46282</v>
      </c>
      <c r="M32" s="723"/>
      <c r="N32" s="146"/>
      <c r="O32" s="591">
        <v>2000</v>
      </c>
      <c r="P32" s="591">
        <v>0</v>
      </c>
      <c r="Q32" s="591">
        <v>0</v>
      </c>
      <c r="R32" s="591">
        <v>5000</v>
      </c>
      <c r="S32" s="591">
        <v>0</v>
      </c>
      <c r="T32" s="591">
        <v>0</v>
      </c>
      <c r="U32" s="591">
        <v>3000</v>
      </c>
      <c r="V32" s="146"/>
      <c r="W32" s="146"/>
      <c r="X32" s="724"/>
      <c r="Y32" s="849"/>
      <c r="Z32" s="146"/>
      <c r="AA32" s="146"/>
      <c r="AB32" s="146"/>
      <c r="AC32" s="146"/>
      <c r="AD32" s="146"/>
      <c r="AE32" s="146"/>
      <c r="AF32" s="146"/>
      <c r="AG32" s="146"/>
      <c r="AH32" s="146"/>
      <c r="AI32" s="146"/>
      <c r="AJ32" s="724"/>
      <c r="AK32" s="860" t="str">
        <f t="shared" si="13"/>
        <v>Si</v>
      </c>
      <c r="AL32" s="862">
        <f t="shared" si="14"/>
        <v>10000</v>
      </c>
    </row>
    <row r="33" spans="2:38" ht="15" thickBot="1" x14ac:dyDescent="0.35">
      <c r="B33" s="21"/>
      <c r="C33" s="21"/>
      <c r="D33" s="21"/>
      <c r="E33" s="21"/>
      <c r="F33" s="21"/>
      <c r="G33" s="21"/>
      <c r="H33" s="462" t="s">
        <v>26</v>
      </c>
      <c r="I33" s="463">
        <f>SUM(I30:I32)</f>
        <v>121666.67</v>
      </c>
      <c r="J33" s="463">
        <f>SUM(J30:J32)</f>
        <v>76666.67</v>
      </c>
      <c r="K33" s="464"/>
      <c r="M33" s="739">
        <f>+SUM(M30:M32)</f>
        <v>0</v>
      </c>
      <c r="N33" s="738">
        <f t="shared" ref="N33:W33" si="15">+SUM(N30:N32)</f>
        <v>0</v>
      </c>
      <c r="O33" s="738">
        <f t="shared" si="15"/>
        <v>10333.334000000001</v>
      </c>
      <c r="P33" s="738">
        <f t="shared" si="15"/>
        <v>0</v>
      </c>
      <c r="Q33" s="738">
        <f t="shared" si="15"/>
        <v>0</v>
      </c>
      <c r="R33" s="738">
        <f t="shared" si="15"/>
        <v>5000</v>
      </c>
      <c r="S33" s="738">
        <f t="shared" si="15"/>
        <v>0</v>
      </c>
      <c r="T33" s="738">
        <f t="shared" si="15"/>
        <v>16666.668000000001</v>
      </c>
      <c r="U33" s="738">
        <f t="shared" si="15"/>
        <v>3000</v>
      </c>
      <c r="V33" s="738">
        <f t="shared" si="15"/>
        <v>0</v>
      </c>
      <c r="W33" s="738">
        <f t="shared" si="15"/>
        <v>0</v>
      </c>
      <c r="X33" s="853">
        <f>+SUM(X30:X32)</f>
        <v>0</v>
      </c>
      <c r="Y33" s="739">
        <f>+SUM(Y30:Y32)</f>
        <v>0</v>
      </c>
      <c r="Z33" s="738">
        <f t="shared" ref="Z33:AJ33" si="16">+SUM(Z30:Z32)</f>
        <v>5000</v>
      </c>
      <c r="AA33" s="738">
        <f t="shared" si="16"/>
        <v>16666.668000000001</v>
      </c>
      <c r="AB33" s="738">
        <f t="shared" si="16"/>
        <v>12500</v>
      </c>
      <c r="AC33" s="738">
        <f t="shared" si="16"/>
        <v>0</v>
      </c>
      <c r="AD33" s="738">
        <f t="shared" si="16"/>
        <v>7500</v>
      </c>
      <c r="AE33" s="738">
        <f t="shared" si="16"/>
        <v>0</v>
      </c>
      <c r="AF33" s="738">
        <f t="shared" si="16"/>
        <v>0</v>
      </c>
      <c r="AG33" s="738">
        <f t="shared" si="16"/>
        <v>0</v>
      </c>
      <c r="AH33" s="738">
        <f t="shared" si="16"/>
        <v>0</v>
      </c>
      <c r="AI33" s="738">
        <f t="shared" si="16"/>
        <v>0</v>
      </c>
      <c r="AJ33" s="853">
        <f t="shared" si="16"/>
        <v>0</v>
      </c>
    </row>
    <row r="34" spans="2:38" ht="15" thickBot="1" x14ac:dyDescent="0.35">
      <c r="M34" s="971">
        <f>+SUM(M33:X33)</f>
        <v>35000.002</v>
      </c>
      <c r="N34" s="972"/>
      <c r="O34" s="972"/>
      <c r="P34" s="972"/>
      <c r="Q34" s="972"/>
      <c r="R34" s="972"/>
      <c r="S34" s="972"/>
      <c r="T34" s="972"/>
      <c r="U34" s="972"/>
      <c r="V34" s="972"/>
      <c r="W34" s="972"/>
      <c r="X34" s="973"/>
      <c r="Y34" s="971">
        <f>+SUM(Y33:AJ33)</f>
        <v>41666.668000000005</v>
      </c>
      <c r="Z34" s="972"/>
      <c r="AA34" s="972"/>
      <c r="AB34" s="972"/>
      <c r="AC34" s="972"/>
      <c r="AD34" s="972"/>
      <c r="AE34" s="972"/>
      <c r="AF34" s="972"/>
      <c r="AG34" s="972"/>
      <c r="AH34" s="972"/>
      <c r="AI34" s="972"/>
      <c r="AJ34" s="973"/>
      <c r="AK34" s="860" t="str">
        <f>IF(SUM(M34:AJ34)=J33,"Si","No")</f>
        <v>Si</v>
      </c>
      <c r="AL34" s="862">
        <f t="shared" ref="AL34" si="17">+SUM(M34:AJ34)</f>
        <v>76666.670000000013</v>
      </c>
    </row>
    <row r="35" spans="2:38" ht="29.4" customHeight="1" x14ac:dyDescent="0.3">
      <c r="B35" s="416" t="s">
        <v>0</v>
      </c>
      <c r="C35" s="417" t="s">
        <v>6</v>
      </c>
      <c r="D35" s="417" t="s">
        <v>1478</v>
      </c>
      <c r="E35" s="417" t="s">
        <v>1186</v>
      </c>
      <c r="F35" s="417" t="s">
        <v>1517</v>
      </c>
      <c r="G35" s="417"/>
      <c r="H35" s="417" t="s">
        <v>7</v>
      </c>
      <c r="I35" s="417" t="s">
        <v>8</v>
      </c>
      <c r="J35" s="417" t="s">
        <v>1381</v>
      </c>
      <c r="K35" s="417" t="s">
        <v>9</v>
      </c>
      <c r="L35" s="418" t="s">
        <v>10</v>
      </c>
      <c r="M35" s="946"/>
      <c r="N35" s="947"/>
      <c r="O35" s="947"/>
      <c r="P35" s="947"/>
      <c r="Q35" s="947"/>
      <c r="R35" s="947"/>
      <c r="S35" s="947"/>
      <c r="T35" s="947"/>
      <c r="U35" s="947"/>
      <c r="V35" s="947"/>
      <c r="W35" s="947"/>
      <c r="X35" s="948"/>
      <c r="Y35" s="946"/>
      <c r="Z35" s="947"/>
      <c r="AA35" s="947"/>
      <c r="AB35" s="947"/>
      <c r="AC35" s="947"/>
      <c r="AD35" s="947"/>
      <c r="AE35" s="947"/>
      <c r="AF35" s="947"/>
      <c r="AG35" s="947"/>
      <c r="AH35" s="947"/>
      <c r="AI35" s="947"/>
      <c r="AJ35" s="948"/>
    </row>
    <row r="36" spans="2:38" ht="29.4" thickBot="1" x14ac:dyDescent="0.35">
      <c r="B36" s="426" t="s">
        <v>52</v>
      </c>
      <c r="C36" s="429" t="s">
        <v>53</v>
      </c>
      <c r="D36" s="429"/>
      <c r="E36" s="429"/>
      <c r="F36" s="928" t="s">
        <v>1516</v>
      </c>
      <c r="G36" s="928"/>
      <c r="H36" s="427" t="s">
        <v>54</v>
      </c>
      <c r="I36" s="408">
        <v>25625.84</v>
      </c>
      <c r="J36" s="408">
        <v>25625.84</v>
      </c>
      <c r="K36" s="447">
        <v>46327</v>
      </c>
      <c r="L36" s="447">
        <v>46446</v>
      </c>
      <c r="M36" s="723"/>
      <c r="N36" s="146"/>
      <c r="O36" s="146"/>
      <c r="P36" s="146"/>
      <c r="Q36" s="146"/>
      <c r="R36" s="146"/>
      <c r="S36" s="146"/>
      <c r="T36" s="146"/>
      <c r="U36" s="146"/>
      <c r="V36" s="146"/>
      <c r="W36" s="591">
        <v>5125.1680000000006</v>
      </c>
      <c r="X36" s="598">
        <v>0</v>
      </c>
      <c r="Y36" s="850">
        <v>12812.92</v>
      </c>
      <c r="Z36" s="591">
        <v>7687.7519999999995</v>
      </c>
      <c r="AA36" s="146"/>
      <c r="AB36" s="146"/>
      <c r="AC36" s="146"/>
      <c r="AD36" s="146"/>
      <c r="AE36" s="146"/>
      <c r="AF36" s="146"/>
      <c r="AG36" s="146"/>
      <c r="AH36" s="146"/>
      <c r="AI36" s="146"/>
      <c r="AJ36" s="724"/>
      <c r="AK36" s="860" t="str">
        <f t="shared" ref="AK36" si="18">IF(SUM(M36:AJ36)=J36,"Si","No")</f>
        <v>Si</v>
      </c>
      <c r="AL36" s="862">
        <f t="shared" ref="AL36" si="19">+SUM(M36:AJ36)</f>
        <v>25625.84</v>
      </c>
    </row>
    <row r="37" spans="2:38" ht="15" thickBot="1" x14ac:dyDescent="0.35">
      <c r="B37" s="21"/>
      <c r="C37" s="21"/>
      <c r="D37" s="21"/>
      <c r="E37" s="21"/>
      <c r="F37" s="21"/>
      <c r="G37" s="21"/>
      <c r="H37" s="513" t="s">
        <v>26</v>
      </c>
      <c r="I37" s="514">
        <f>+SUM(I36)</f>
        <v>25625.84</v>
      </c>
      <c r="J37" s="514">
        <f>+SUM(J36)</f>
        <v>25625.84</v>
      </c>
      <c r="K37" s="464"/>
      <c r="M37" s="739">
        <f>+SUM(M36)</f>
        <v>0</v>
      </c>
      <c r="N37" s="738">
        <f t="shared" ref="N37:X37" si="20">+SUM(N36)</f>
        <v>0</v>
      </c>
      <c r="O37" s="738">
        <f t="shared" si="20"/>
        <v>0</v>
      </c>
      <c r="P37" s="738">
        <f t="shared" si="20"/>
        <v>0</v>
      </c>
      <c r="Q37" s="738">
        <f t="shared" si="20"/>
        <v>0</v>
      </c>
      <c r="R37" s="738">
        <f t="shared" si="20"/>
        <v>0</v>
      </c>
      <c r="S37" s="738">
        <f t="shared" si="20"/>
        <v>0</v>
      </c>
      <c r="T37" s="738">
        <f t="shared" si="20"/>
        <v>0</v>
      </c>
      <c r="U37" s="738">
        <f t="shared" si="20"/>
        <v>0</v>
      </c>
      <c r="V37" s="738">
        <f t="shared" si="20"/>
        <v>0</v>
      </c>
      <c r="W37" s="738">
        <f t="shared" si="20"/>
        <v>5125.1680000000006</v>
      </c>
      <c r="X37" s="853">
        <f t="shared" si="20"/>
        <v>0</v>
      </c>
      <c r="Y37" s="739">
        <f>+SUM(Y36)</f>
        <v>12812.92</v>
      </c>
      <c r="Z37" s="738">
        <f t="shared" ref="Z37:AJ37" si="21">+SUM(Z36)</f>
        <v>7687.7519999999995</v>
      </c>
      <c r="AA37" s="738">
        <f t="shared" si="21"/>
        <v>0</v>
      </c>
      <c r="AB37" s="738">
        <f t="shared" si="21"/>
        <v>0</v>
      </c>
      <c r="AC37" s="738">
        <f t="shared" si="21"/>
        <v>0</v>
      </c>
      <c r="AD37" s="738">
        <f t="shared" si="21"/>
        <v>0</v>
      </c>
      <c r="AE37" s="738">
        <f t="shared" si="21"/>
        <v>0</v>
      </c>
      <c r="AF37" s="738">
        <f t="shared" si="21"/>
        <v>0</v>
      </c>
      <c r="AG37" s="738">
        <f t="shared" si="21"/>
        <v>0</v>
      </c>
      <c r="AH37" s="738">
        <f t="shared" si="21"/>
        <v>0</v>
      </c>
      <c r="AI37" s="738">
        <f t="shared" si="21"/>
        <v>0</v>
      </c>
      <c r="AJ37" s="853">
        <f t="shared" si="21"/>
        <v>0</v>
      </c>
    </row>
    <row r="38" spans="2:38" ht="15" thickBot="1" x14ac:dyDescent="0.35">
      <c r="M38" s="971">
        <f>+SUM(M37:X37)</f>
        <v>5125.1680000000006</v>
      </c>
      <c r="N38" s="972"/>
      <c r="O38" s="972"/>
      <c r="P38" s="972"/>
      <c r="Q38" s="972"/>
      <c r="R38" s="972"/>
      <c r="S38" s="972"/>
      <c r="T38" s="972"/>
      <c r="U38" s="972"/>
      <c r="V38" s="972"/>
      <c r="W38" s="972"/>
      <c r="X38" s="973"/>
      <c r="Y38" s="971">
        <f>+SUM(Y37:AJ37)</f>
        <v>20500.671999999999</v>
      </c>
      <c r="Z38" s="972"/>
      <c r="AA38" s="972"/>
      <c r="AB38" s="972"/>
      <c r="AC38" s="972"/>
      <c r="AD38" s="972"/>
      <c r="AE38" s="972"/>
      <c r="AF38" s="972"/>
      <c r="AG38" s="972"/>
      <c r="AH38" s="972"/>
      <c r="AI38" s="972"/>
      <c r="AJ38" s="973"/>
      <c r="AK38" s="860" t="str">
        <f>IF(SUM(M38:AJ38)=J37,"Si","No")</f>
        <v>Si</v>
      </c>
      <c r="AL38" s="862">
        <f t="shared" ref="AL38" si="22">+SUM(M38:AJ38)</f>
        <v>25625.84</v>
      </c>
    </row>
    <row r="39" spans="2:38" ht="40.200000000000003" customHeight="1" x14ac:dyDescent="0.3">
      <c r="B39" s="416" t="s">
        <v>0</v>
      </c>
      <c r="C39" s="417" t="s">
        <v>6</v>
      </c>
      <c r="D39" s="417" t="s">
        <v>1478</v>
      </c>
      <c r="E39" s="417" t="s">
        <v>1186</v>
      </c>
      <c r="F39" s="417" t="s">
        <v>1517</v>
      </c>
      <c r="G39" s="417"/>
      <c r="H39" s="417" t="s">
        <v>7</v>
      </c>
      <c r="I39" s="417" t="s">
        <v>8</v>
      </c>
      <c r="J39" s="417" t="s">
        <v>1381</v>
      </c>
      <c r="K39" s="417" t="s">
        <v>9</v>
      </c>
      <c r="L39" s="418" t="s">
        <v>10</v>
      </c>
      <c r="M39" s="946"/>
      <c r="N39" s="947"/>
      <c r="O39" s="947"/>
      <c r="P39" s="947"/>
      <c r="Q39" s="947"/>
      <c r="R39" s="947"/>
      <c r="S39" s="947"/>
      <c r="T39" s="947"/>
      <c r="U39" s="947"/>
      <c r="V39" s="947"/>
      <c r="W39" s="947"/>
      <c r="X39" s="948"/>
      <c r="Y39" s="946"/>
      <c r="Z39" s="947"/>
      <c r="AA39" s="947"/>
      <c r="AB39" s="947"/>
      <c r="AC39" s="947"/>
      <c r="AD39" s="947"/>
      <c r="AE39" s="947"/>
      <c r="AF39" s="947"/>
      <c r="AG39" s="947"/>
      <c r="AH39" s="947"/>
      <c r="AI39" s="947"/>
      <c r="AJ39" s="948"/>
    </row>
    <row r="40" spans="2:38" x14ac:dyDescent="0.3">
      <c r="B40" s="407" t="s">
        <v>57</v>
      </c>
      <c r="C40" s="435" t="s">
        <v>58</v>
      </c>
      <c r="D40" s="435"/>
      <c r="E40" s="435"/>
      <c r="F40" s="924" t="s">
        <v>1515</v>
      </c>
      <c r="G40" s="924"/>
      <c r="H40" s="405" t="s">
        <v>59</v>
      </c>
      <c r="I40" s="406">
        <v>30000</v>
      </c>
      <c r="J40" s="406">
        <v>30000</v>
      </c>
      <c r="K40" s="436">
        <v>46054</v>
      </c>
      <c r="L40" s="421">
        <v>46158</v>
      </c>
      <c r="M40" s="723"/>
      <c r="N40" s="591">
        <v>7500</v>
      </c>
      <c r="O40" s="591">
        <v>7500</v>
      </c>
      <c r="P40" s="591">
        <v>7500</v>
      </c>
      <c r="Q40" s="591">
        <v>7500</v>
      </c>
      <c r="R40" s="146"/>
      <c r="S40" s="146"/>
      <c r="T40" s="146"/>
      <c r="U40" s="146"/>
      <c r="V40" s="146"/>
      <c r="W40" s="146"/>
      <c r="X40" s="724"/>
      <c r="Y40" s="849"/>
      <c r="Z40" s="146"/>
      <c r="AA40" s="146"/>
      <c r="AB40" s="146"/>
      <c r="AC40" s="146"/>
      <c r="AD40" s="146"/>
      <c r="AE40" s="146"/>
      <c r="AF40" s="146"/>
      <c r="AG40" s="146"/>
      <c r="AH40" s="146"/>
      <c r="AI40" s="146"/>
      <c r="AJ40" s="724"/>
      <c r="AK40" s="860" t="str">
        <f t="shared" ref="AK40:AK68" si="23">IF(SUM(M40:AJ40)=J40,"Si","No")</f>
        <v>Si</v>
      </c>
      <c r="AL40" s="862">
        <f t="shared" ref="AL40:AL68" si="24">+SUM(M40:AJ40)</f>
        <v>30000</v>
      </c>
    </row>
    <row r="41" spans="2:38" x14ac:dyDescent="0.3">
      <c r="B41" s="407" t="s">
        <v>57</v>
      </c>
      <c r="C41" s="435" t="s">
        <v>24</v>
      </c>
      <c r="D41" s="435"/>
      <c r="E41" s="435"/>
      <c r="F41" s="924" t="s">
        <v>1515</v>
      </c>
      <c r="G41" s="924"/>
      <c r="H41" s="405" t="s">
        <v>60</v>
      </c>
      <c r="I41" s="406">
        <v>110378</v>
      </c>
      <c r="J41" s="406">
        <v>110378</v>
      </c>
      <c r="K41" s="436">
        <v>46054</v>
      </c>
      <c r="L41" s="421">
        <v>46537</v>
      </c>
      <c r="M41" s="723"/>
      <c r="N41" s="591">
        <v>6898.625</v>
      </c>
      <c r="O41" s="591">
        <v>6898.625</v>
      </c>
      <c r="P41" s="591">
        <v>6898.625</v>
      </c>
      <c r="Q41" s="591">
        <v>6898.625</v>
      </c>
      <c r="R41" s="591">
        <v>6898.625</v>
      </c>
      <c r="S41" s="591">
        <v>6898.625</v>
      </c>
      <c r="T41" s="591">
        <v>6898.625</v>
      </c>
      <c r="U41" s="591">
        <v>6898.625</v>
      </c>
      <c r="V41" s="591">
        <v>6898.625</v>
      </c>
      <c r="W41" s="591">
        <v>6898.625</v>
      </c>
      <c r="X41" s="598">
        <v>6898.625</v>
      </c>
      <c r="Y41" s="850">
        <v>6898.625</v>
      </c>
      <c r="Z41" s="591">
        <v>6898.625</v>
      </c>
      <c r="AA41" s="591">
        <v>6898.625</v>
      </c>
      <c r="AB41" s="591">
        <v>6898.625</v>
      </c>
      <c r="AC41" s="591">
        <v>6898.625</v>
      </c>
      <c r="AD41" s="146"/>
      <c r="AE41" s="146"/>
      <c r="AF41" s="146"/>
      <c r="AG41" s="146"/>
      <c r="AH41" s="146"/>
      <c r="AI41" s="146"/>
      <c r="AJ41" s="724"/>
      <c r="AK41" s="860" t="str">
        <f t="shared" si="23"/>
        <v>Si</v>
      </c>
      <c r="AL41" s="862">
        <f t="shared" si="24"/>
        <v>110378</v>
      </c>
    </row>
    <row r="42" spans="2:38" x14ac:dyDescent="0.3">
      <c r="B42" s="407" t="s">
        <v>57</v>
      </c>
      <c r="C42" s="435" t="s">
        <v>61</v>
      </c>
      <c r="D42" s="435"/>
      <c r="E42" s="435"/>
      <c r="F42" s="435" t="s">
        <v>1518</v>
      </c>
      <c r="G42" s="435"/>
      <c r="H42" s="405" t="s">
        <v>62</v>
      </c>
      <c r="I42" s="406">
        <v>50000</v>
      </c>
      <c r="J42" s="406">
        <v>25000</v>
      </c>
      <c r="K42" s="436" t="s">
        <v>63</v>
      </c>
      <c r="L42" s="411" t="s">
        <v>63</v>
      </c>
      <c r="M42" s="711"/>
      <c r="N42" s="710"/>
      <c r="O42" s="591">
        <v>25000</v>
      </c>
      <c r="P42" s="710"/>
      <c r="Q42" s="710"/>
      <c r="R42" s="710"/>
      <c r="S42" s="710"/>
      <c r="T42" s="710"/>
      <c r="U42" s="710"/>
      <c r="V42" s="710"/>
      <c r="W42" s="710"/>
      <c r="X42" s="712"/>
      <c r="Y42" s="847"/>
      <c r="Z42" s="710"/>
      <c r="AA42" s="710"/>
      <c r="AB42" s="710"/>
      <c r="AC42" s="710"/>
      <c r="AD42" s="710"/>
      <c r="AE42" s="710"/>
      <c r="AF42" s="710"/>
      <c r="AG42" s="710"/>
      <c r="AH42" s="710"/>
      <c r="AI42" s="710"/>
      <c r="AJ42" s="712"/>
      <c r="AK42" s="860" t="str">
        <f t="shared" si="23"/>
        <v>Si</v>
      </c>
      <c r="AL42" s="862">
        <f t="shared" si="24"/>
        <v>25000</v>
      </c>
    </row>
    <row r="43" spans="2:38" x14ac:dyDescent="0.3">
      <c r="B43" s="407" t="s">
        <v>57</v>
      </c>
      <c r="C43" s="435" t="s">
        <v>64</v>
      </c>
      <c r="D43" s="435"/>
      <c r="E43" s="435"/>
      <c r="F43" s="435" t="s">
        <v>1518</v>
      </c>
      <c r="G43" s="435"/>
      <c r="H43" s="405" t="s">
        <v>65</v>
      </c>
      <c r="I43" s="406">
        <v>1454.99</v>
      </c>
      <c r="J43" s="406">
        <v>1454.99</v>
      </c>
      <c r="K43" s="436" t="s">
        <v>63</v>
      </c>
      <c r="L43" s="411" t="s">
        <v>63</v>
      </c>
      <c r="M43" s="711"/>
      <c r="N43" s="710"/>
      <c r="O43" s="591">
        <v>1454.99</v>
      </c>
      <c r="P43" s="710"/>
      <c r="Q43" s="710"/>
      <c r="R43" s="710"/>
      <c r="S43" s="710"/>
      <c r="T43" s="710"/>
      <c r="U43" s="710"/>
      <c r="V43" s="710"/>
      <c r="W43" s="710"/>
      <c r="X43" s="712"/>
      <c r="Y43" s="847"/>
      <c r="Z43" s="710"/>
      <c r="AA43" s="710"/>
      <c r="AB43" s="710"/>
      <c r="AC43" s="710"/>
      <c r="AD43" s="710"/>
      <c r="AE43" s="710"/>
      <c r="AF43" s="710"/>
      <c r="AG43" s="710"/>
      <c r="AH43" s="710"/>
      <c r="AI43" s="710"/>
      <c r="AJ43" s="712"/>
      <c r="AK43" s="860" t="str">
        <f t="shared" si="23"/>
        <v>Si</v>
      </c>
      <c r="AL43" s="862">
        <f t="shared" si="24"/>
        <v>1454.99</v>
      </c>
    </row>
    <row r="44" spans="2:38" x14ac:dyDescent="0.3">
      <c r="B44" s="407" t="s">
        <v>57</v>
      </c>
      <c r="C44" s="435" t="s">
        <v>66</v>
      </c>
      <c r="D44" s="435"/>
      <c r="E44" s="435"/>
      <c r="F44" s="435" t="s">
        <v>1518</v>
      </c>
      <c r="G44" s="435"/>
      <c r="H44" s="405" t="s">
        <v>67</v>
      </c>
      <c r="I44" s="406">
        <v>1500</v>
      </c>
      <c r="J44" s="406">
        <v>1500</v>
      </c>
      <c r="K44" s="436" t="s">
        <v>63</v>
      </c>
      <c r="L44" s="411" t="s">
        <v>63</v>
      </c>
      <c r="M44" s="711"/>
      <c r="N44" s="710"/>
      <c r="O44" s="591">
        <v>1500</v>
      </c>
      <c r="P44" s="710"/>
      <c r="Q44" s="710"/>
      <c r="R44" s="710"/>
      <c r="S44" s="710"/>
      <c r="T44" s="710"/>
      <c r="U44" s="710"/>
      <c r="V44" s="710"/>
      <c r="W44" s="710"/>
      <c r="X44" s="712"/>
      <c r="Y44" s="847"/>
      <c r="Z44" s="710"/>
      <c r="AA44" s="710"/>
      <c r="AB44" s="710"/>
      <c r="AC44" s="710"/>
      <c r="AD44" s="710"/>
      <c r="AE44" s="710"/>
      <c r="AF44" s="710"/>
      <c r="AG44" s="710"/>
      <c r="AH44" s="710"/>
      <c r="AI44" s="710"/>
      <c r="AJ44" s="712"/>
      <c r="AK44" s="860" t="str">
        <f t="shared" si="23"/>
        <v>Si</v>
      </c>
      <c r="AL44" s="862">
        <f t="shared" si="24"/>
        <v>1500</v>
      </c>
    </row>
    <row r="45" spans="2:38" x14ac:dyDescent="0.3">
      <c r="B45" s="407" t="s">
        <v>57</v>
      </c>
      <c r="C45" s="435" t="s">
        <v>68</v>
      </c>
      <c r="D45" s="435"/>
      <c r="E45" s="435"/>
      <c r="F45" s="435" t="s">
        <v>1518</v>
      </c>
      <c r="G45" s="435"/>
      <c r="H45" s="405" t="s">
        <v>69</v>
      </c>
      <c r="I45" s="406">
        <f>2100+1131.66</f>
        <v>3231.66</v>
      </c>
      <c r="J45" s="406">
        <v>3000</v>
      </c>
      <c r="K45" s="436" t="s">
        <v>63</v>
      </c>
      <c r="L45" s="411" t="s">
        <v>63</v>
      </c>
      <c r="M45" s="711"/>
      <c r="N45" s="710"/>
      <c r="O45" s="591">
        <v>3000</v>
      </c>
      <c r="P45" s="710"/>
      <c r="Q45" s="710"/>
      <c r="R45" s="710"/>
      <c r="S45" s="710"/>
      <c r="T45" s="710"/>
      <c r="U45" s="710"/>
      <c r="V45" s="710"/>
      <c r="W45" s="710"/>
      <c r="X45" s="712"/>
      <c r="Y45" s="847"/>
      <c r="Z45" s="710"/>
      <c r="AA45" s="710"/>
      <c r="AB45" s="710"/>
      <c r="AC45" s="710"/>
      <c r="AD45" s="710"/>
      <c r="AE45" s="710"/>
      <c r="AF45" s="710"/>
      <c r="AG45" s="710"/>
      <c r="AH45" s="710"/>
      <c r="AI45" s="710"/>
      <c r="AJ45" s="712"/>
      <c r="AK45" s="860" t="str">
        <f t="shared" si="23"/>
        <v>Si</v>
      </c>
      <c r="AL45" s="862">
        <f t="shared" si="24"/>
        <v>3000</v>
      </c>
    </row>
    <row r="46" spans="2:38" x14ac:dyDescent="0.3">
      <c r="B46" s="407" t="s">
        <v>57</v>
      </c>
      <c r="C46" s="435" t="s">
        <v>70</v>
      </c>
      <c r="D46" s="435"/>
      <c r="E46" s="435"/>
      <c r="F46" s="435" t="s">
        <v>1518</v>
      </c>
      <c r="G46" s="435"/>
      <c r="H46" s="405" t="s">
        <v>71</v>
      </c>
      <c r="I46" s="388">
        <v>25000</v>
      </c>
      <c r="J46" s="388">
        <v>20000</v>
      </c>
      <c r="K46" s="436" t="s">
        <v>63</v>
      </c>
      <c r="L46" s="411" t="s">
        <v>63</v>
      </c>
      <c r="M46" s="597">
        <v>833.33333333333337</v>
      </c>
      <c r="N46" s="591">
        <v>833.33333333333337</v>
      </c>
      <c r="O46" s="591">
        <v>833.33333333333337</v>
      </c>
      <c r="P46" s="591">
        <v>833.33333333333337</v>
      </c>
      <c r="Q46" s="591">
        <v>833.33333333333337</v>
      </c>
      <c r="R46" s="591">
        <v>833.33333333333337</v>
      </c>
      <c r="S46" s="591">
        <v>833.33333333333337</v>
      </c>
      <c r="T46" s="591">
        <v>833.33333333333337</v>
      </c>
      <c r="U46" s="591">
        <v>833.33333333333337</v>
      </c>
      <c r="V46" s="591">
        <v>833.33333333333337</v>
      </c>
      <c r="W46" s="591">
        <v>833.33333333333337</v>
      </c>
      <c r="X46" s="598">
        <v>833.33333333333337</v>
      </c>
      <c r="Y46" s="850">
        <v>833.33333333333337</v>
      </c>
      <c r="Z46" s="591">
        <v>833.33333333333337</v>
      </c>
      <c r="AA46" s="591">
        <v>833.33333333333337</v>
      </c>
      <c r="AB46" s="591">
        <v>833.33333333333337</v>
      </c>
      <c r="AC46" s="591">
        <v>833.33333333333337</v>
      </c>
      <c r="AD46" s="591">
        <v>833.33333333333337</v>
      </c>
      <c r="AE46" s="591">
        <v>833.33333333333337</v>
      </c>
      <c r="AF46" s="591">
        <v>833.33333333333337</v>
      </c>
      <c r="AG46" s="591">
        <v>833.33333333333337</v>
      </c>
      <c r="AH46" s="591">
        <v>833.33333333333337</v>
      </c>
      <c r="AI46" s="591">
        <v>833.33333333333337</v>
      </c>
      <c r="AJ46" s="598">
        <v>833.33333333333337</v>
      </c>
      <c r="AK46" s="860" t="str">
        <f t="shared" si="23"/>
        <v>Si</v>
      </c>
      <c r="AL46" s="862">
        <f t="shared" si="24"/>
        <v>20000</v>
      </c>
    </row>
    <row r="47" spans="2:38" x14ac:dyDescent="0.3">
      <c r="B47" s="407" t="s">
        <v>57</v>
      </c>
      <c r="C47" s="435" t="s">
        <v>72</v>
      </c>
      <c r="D47" s="435"/>
      <c r="E47" s="435"/>
      <c r="F47" s="435" t="s">
        <v>1518</v>
      </c>
      <c r="G47" s="435"/>
      <c r="H47" s="405" t="s">
        <v>73</v>
      </c>
      <c r="I47" s="388">
        <v>10000</v>
      </c>
      <c r="J47" s="388">
        <v>10000</v>
      </c>
      <c r="K47" s="436" t="s">
        <v>63</v>
      </c>
      <c r="L47" s="411" t="s">
        <v>63</v>
      </c>
      <c r="M47" s="597">
        <v>416.66666666666669</v>
      </c>
      <c r="N47" s="591">
        <v>416.66666666666669</v>
      </c>
      <c r="O47" s="591">
        <v>416.66666666666669</v>
      </c>
      <c r="P47" s="591">
        <v>416.66666666666669</v>
      </c>
      <c r="Q47" s="591">
        <v>416.66666666666669</v>
      </c>
      <c r="R47" s="591">
        <v>416.66666666666669</v>
      </c>
      <c r="S47" s="591">
        <v>416.66666666666669</v>
      </c>
      <c r="T47" s="591">
        <v>416.66666666666669</v>
      </c>
      <c r="U47" s="591">
        <v>416.66666666666669</v>
      </c>
      <c r="V47" s="591">
        <v>416.66666666666669</v>
      </c>
      <c r="W47" s="591">
        <v>416.66666666666669</v>
      </c>
      <c r="X47" s="598">
        <v>416.66666666666669</v>
      </c>
      <c r="Y47" s="850">
        <v>416.66666666666669</v>
      </c>
      <c r="Z47" s="591">
        <v>416.66666666666669</v>
      </c>
      <c r="AA47" s="591">
        <v>416.66666666666669</v>
      </c>
      <c r="AB47" s="591">
        <v>416.66666666666669</v>
      </c>
      <c r="AC47" s="591">
        <v>416.66666666666669</v>
      </c>
      <c r="AD47" s="591">
        <v>416.66666666666669</v>
      </c>
      <c r="AE47" s="591">
        <v>416.66666666666669</v>
      </c>
      <c r="AF47" s="591">
        <v>416.66666666666669</v>
      </c>
      <c r="AG47" s="591">
        <v>416.66666666666669</v>
      </c>
      <c r="AH47" s="591">
        <v>416.66666666666669</v>
      </c>
      <c r="AI47" s="591">
        <v>416.66666666666669</v>
      </c>
      <c r="AJ47" s="598">
        <v>416.66666666666669</v>
      </c>
      <c r="AK47" s="860" t="str">
        <f t="shared" si="23"/>
        <v>Si</v>
      </c>
      <c r="AL47" s="862">
        <f t="shared" si="24"/>
        <v>10000</v>
      </c>
    </row>
    <row r="48" spans="2:38" x14ac:dyDescent="0.3">
      <c r="B48" s="407" t="s">
        <v>57</v>
      </c>
      <c r="C48" s="435" t="s">
        <v>74</v>
      </c>
      <c r="D48" s="435"/>
      <c r="E48" s="435"/>
      <c r="F48" s="435" t="s">
        <v>1518</v>
      </c>
      <c r="G48" s="435"/>
      <c r="H48" s="405" t="s">
        <v>75</v>
      </c>
      <c r="I48" s="388">
        <v>75000</v>
      </c>
      <c r="J48" s="388">
        <v>50000</v>
      </c>
      <c r="K48" s="436" t="s">
        <v>63</v>
      </c>
      <c r="L48" s="411" t="s">
        <v>63</v>
      </c>
      <c r="M48" s="597">
        <v>2083.3333333333335</v>
      </c>
      <c r="N48" s="591">
        <v>2083.3333333333335</v>
      </c>
      <c r="O48" s="591">
        <v>2083.3333333333335</v>
      </c>
      <c r="P48" s="591">
        <v>2083.3333333333335</v>
      </c>
      <c r="Q48" s="591">
        <v>2083.3333333333335</v>
      </c>
      <c r="R48" s="591">
        <v>2083.3333333333335</v>
      </c>
      <c r="S48" s="591">
        <v>2083.3333333333335</v>
      </c>
      <c r="T48" s="591">
        <v>2083.3333333333335</v>
      </c>
      <c r="U48" s="591">
        <v>2083.3333333333335</v>
      </c>
      <c r="V48" s="591">
        <v>2083.3333333333335</v>
      </c>
      <c r="W48" s="591">
        <v>2083.3333333333335</v>
      </c>
      <c r="X48" s="598">
        <v>2083.3333333333335</v>
      </c>
      <c r="Y48" s="850">
        <v>2083.3333333333335</v>
      </c>
      <c r="Z48" s="591">
        <v>2083.3333333333335</v>
      </c>
      <c r="AA48" s="591">
        <v>2083.3333333333335</v>
      </c>
      <c r="AB48" s="591">
        <v>2083.3333333333335</v>
      </c>
      <c r="AC48" s="591">
        <v>2083.3333333333335</v>
      </c>
      <c r="AD48" s="591">
        <v>2083.3333333333335</v>
      </c>
      <c r="AE48" s="591">
        <v>2083.3333333333335</v>
      </c>
      <c r="AF48" s="591">
        <v>2083.3333333333335</v>
      </c>
      <c r="AG48" s="591">
        <v>2083.3333333333335</v>
      </c>
      <c r="AH48" s="591">
        <v>2083.3333333333335</v>
      </c>
      <c r="AI48" s="591">
        <v>2083.3333333333335</v>
      </c>
      <c r="AJ48" s="598">
        <v>2083.3333333333335</v>
      </c>
      <c r="AK48" s="860" t="str">
        <f t="shared" si="23"/>
        <v>Si</v>
      </c>
      <c r="AL48" s="862">
        <f t="shared" si="24"/>
        <v>50000.000000000015</v>
      </c>
    </row>
    <row r="49" spans="2:38" x14ac:dyDescent="0.3">
      <c r="B49" s="407" t="s">
        <v>57</v>
      </c>
      <c r="C49" s="435" t="s">
        <v>76</v>
      </c>
      <c r="D49" s="435"/>
      <c r="E49" s="435"/>
      <c r="F49" s="435" t="s">
        <v>1518</v>
      </c>
      <c r="G49" s="435"/>
      <c r="H49" s="405" t="s">
        <v>77</v>
      </c>
      <c r="I49" s="388">
        <f>1582.94+2263.31</f>
        <v>3846.25</v>
      </c>
      <c r="J49" s="388">
        <v>3846.25</v>
      </c>
      <c r="K49" s="436" t="s">
        <v>63</v>
      </c>
      <c r="L49" s="411" t="s">
        <v>63</v>
      </c>
      <c r="M49" s="597">
        <v>160.26041666666666</v>
      </c>
      <c r="N49" s="591">
        <v>160.26041666666666</v>
      </c>
      <c r="O49" s="591">
        <v>160.26041666666666</v>
      </c>
      <c r="P49" s="591">
        <v>160.26041666666666</v>
      </c>
      <c r="Q49" s="591">
        <v>160.26041666666666</v>
      </c>
      <c r="R49" s="591">
        <v>160.26041666666666</v>
      </c>
      <c r="S49" s="591">
        <v>160.26041666666666</v>
      </c>
      <c r="T49" s="591">
        <v>160.26041666666666</v>
      </c>
      <c r="U49" s="591">
        <v>160.26041666666666</v>
      </c>
      <c r="V49" s="591">
        <v>160.26041666666666</v>
      </c>
      <c r="W49" s="591">
        <v>160.26041666666666</v>
      </c>
      <c r="X49" s="598">
        <v>160.26041666666666</v>
      </c>
      <c r="Y49" s="850">
        <v>160.26041666666666</v>
      </c>
      <c r="Z49" s="591">
        <v>160.26041666666666</v>
      </c>
      <c r="AA49" s="591">
        <v>160.26041666666666</v>
      </c>
      <c r="AB49" s="591">
        <v>160.26041666666666</v>
      </c>
      <c r="AC49" s="591">
        <v>160.26041666666666</v>
      </c>
      <c r="AD49" s="591">
        <v>160.26041666666666</v>
      </c>
      <c r="AE49" s="591">
        <v>160.26041666666666</v>
      </c>
      <c r="AF49" s="591">
        <v>160.26041666666666</v>
      </c>
      <c r="AG49" s="591">
        <v>160.26041666666666</v>
      </c>
      <c r="AH49" s="591">
        <v>160.26041666666666</v>
      </c>
      <c r="AI49" s="591">
        <v>160.26041666666666</v>
      </c>
      <c r="AJ49" s="598">
        <v>160.26041666666666</v>
      </c>
      <c r="AK49" s="860" t="str">
        <f t="shared" si="23"/>
        <v>Si</v>
      </c>
      <c r="AL49" s="862">
        <f t="shared" si="24"/>
        <v>3846.2499999999986</v>
      </c>
    </row>
    <row r="50" spans="2:38" x14ac:dyDescent="0.3">
      <c r="B50" s="407" t="s">
        <v>57</v>
      </c>
      <c r="C50" s="435" t="s">
        <v>78</v>
      </c>
      <c r="D50" s="435"/>
      <c r="E50" s="435"/>
      <c r="F50" s="435" t="s">
        <v>1518</v>
      </c>
      <c r="G50" s="435"/>
      <c r="H50" s="405" t="s">
        <v>79</v>
      </c>
      <c r="I50" s="388">
        <v>27500</v>
      </c>
      <c r="J50" s="388">
        <v>20000</v>
      </c>
      <c r="K50" s="436" t="s">
        <v>63</v>
      </c>
      <c r="L50" s="411" t="s">
        <v>63</v>
      </c>
      <c r="M50" s="597">
        <v>833.33333333333337</v>
      </c>
      <c r="N50" s="591">
        <v>833.33333333333337</v>
      </c>
      <c r="O50" s="591">
        <v>833.33333333333337</v>
      </c>
      <c r="P50" s="591">
        <v>833.33333333333337</v>
      </c>
      <c r="Q50" s="591">
        <v>833.33333333333337</v>
      </c>
      <c r="R50" s="591">
        <v>833.33333333333337</v>
      </c>
      <c r="S50" s="591">
        <v>833.33333333333337</v>
      </c>
      <c r="T50" s="591">
        <v>833.33333333333337</v>
      </c>
      <c r="U50" s="591">
        <v>833.33333333333337</v>
      </c>
      <c r="V50" s="591">
        <v>833.33333333333337</v>
      </c>
      <c r="W50" s="591">
        <v>833.33333333333337</v>
      </c>
      <c r="X50" s="598">
        <v>833.33333333333337</v>
      </c>
      <c r="Y50" s="850">
        <v>833.33333333333337</v>
      </c>
      <c r="Z50" s="591">
        <v>833.33333333333337</v>
      </c>
      <c r="AA50" s="591">
        <v>833.33333333333337</v>
      </c>
      <c r="AB50" s="591">
        <v>833.33333333333337</v>
      </c>
      <c r="AC50" s="591">
        <v>833.33333333333337</v>
      </c>
      <c r="AD50" s="591">
        <v>833.33333333333337</v>
      </c>
      <c r="AE50" s="591">
        <v>833.33333333333337</v>
      </c>
      <c r="AF50" s="591">
        <v>833.33333333333337</v>
      </c>
      <c r="AG50" s="591">
        <v>833.33333333333337</v>
      </c>
      <c r="AH50" s="591">
        <v>833.33333333333337</v>
      </c>
      <c r="AI50" s="591">
        <v>833.33333333333337</v>
      </c>
      <c r="AJ50" s="598">
        <v>833.33333333333337</v>
      </c>
      <c r="AK50" s="860" t="str">
        <f t="shared" si="23"/>
        <v>Si</v>
      </c>
      <c r="AL50" s="862">
        <f t="shared" si="24"/>
        <v>20000</v>
      </c>
    </row>
    <row r="51" spans="2:38" x14ac:dyDescent="0.3">
      <c r="B51" s="407" t="s">
        <v>57</v>
      </c>
      <c r="C51" s="435" t="s">
        <v>80</v>
      </c>
      <c r="D51" s="435"/>
      <c r="E51" s="435"/>
      <c r="F51" s="435" t="s">
        <v>1518</v>
      </c>
      <c r="G51" s="435"/>
      <c r="H51" s="405" t="s">
        <v>81</v>
      </c>
      <c r="I51" s="388">
        <v>1357.98</v>
      </c>
      <c r="J51" s="388">
        <v>2000</v>
      </c>
      <c r="K51" s="436" t="s">
        <v>63</v>
      </c>
      <c r="L51" s="411" t="s">
        <v>63</v>
      </c>
      <c r="M51" s="597">
        <v>83.333333333333329</v>
      </c>
      <c r="N51" s="591">
        <v>83.333333333333329</v>
      </c>
      <c r="O51" s="591">
        <v>83.333333333333329</v>
      </c>
      <c r="P51" s="591">
        <v>83.333333333333329</v>
      </c>
      <c r="Q51" s="591">
        <v>83.333333333333329</v>
      </c>
      <c r="R51" s="591">
        <v>83.333333333333329</v>
      </c>
      <c r="S51" s="591">
        <v>83.333333333333329</v>
      </c>
      <c r="T51" s="591">
        <v>83.333333333333329</v>
      </c>
      <c r="U51" s="591">
        <v>83.333333333333329</v>
      </c>
      <c r="V51" s="591">
        <v>83.333333333333329</v>
      </c>
      <c r="W51" s="591">
        <v>83.333333333333329</v>
      </c>
      <c r="X51" s="598">
        <v>83.333333333333329</v>
      </c>
      <c r="Y51" s="850">
        <v>83.333333333333329</v>
      </c>
      <c r="Z51" s="591">
        <v>83.333333333333329</v>
      </c>
      <c r="AA51" s="591">
        <v>83.333333333333329</v>
      </c>
      <c r="AB51" s="591">
        <v>83.333333333333329</v>
      </c>
      <c r="AC51" s="591">
        <v>83.333333333333329</v>
      </c>
      <c r="AD51" s="591">
        <v>83.333333333333329</v>
      </c>
      <c r="AE51" s="591">
        <v>83.333333333333329</v>
      </c>
      <c r="AF51" s="591">
        <v>83.333333333333329</v>
      </c>
      <c r="AG51" s="591">
        <v>83.333333333333329</v>
      </c>
      <c r="AH51" s="591">
        <v>83.333333333333329</v>
      </c>
      <c r="AI51" s="591">
        <v>83.333333333333329</v>
      </c>
      <c r="AJ51" s="598">
        <v>83.333333333333329</v>
      </c>
      <c r="AK51" s="860" t="str">
        <f t="shared" si="23"/>
        <v>Si</v>
      </c>
      <c r="AL51" s="862">
        <f t="shared" si="24"/>
        <v>1999.9999999999993</v>
      </c>
    </row>
    <row r="52" spans="2:38" x14ac:dyDescent="0.3">
      <c r="B52" s="407" t="s">
        <v>57</v>
      </c>
      <c r="C52" s="435" t="s">
        <v>82</v>
      </c>
      <c r="D52" s="435"/>
      <c r="E52" s="435"/>
      <c r="F52" s="435" t="s">
        <v>1518</v>
      </c>
      <c r="G52" s="435"/>
      <c r="H52" s="405" t="s">
        <v>83</v>
      </c>
      <c r="I52" s="388">
        <f>25000+9612.36</f>
        <v>34612.36</v>
      </c>
      <c r="J52" s="388">
        <v>35000</v>
      </c>
      <c r="K52" s="436" t="s">
        <v>63</v>
      </c>
      <c r="L52" s="411" t="s">
        <v>63</v>
      </c>
      <c r="M52" s="597">
        <v>1458.3333333333301</v>
      </c>
      <c r="N52" s="591">
        <v>1458.3333333333333</v>
      </c>
      <c r="O52" s="591">
        <v>1458.3333333333333</v>
      </c>
      <c r="P52" s="591">
        <v>1458.3333333333333</v>
      </c>
      <c r="Q52" s="591">
        <v>1458.3333333333333</v>
      </c>
      <c r="R52" s="591">
        <v>1458.3333333333333</v>
      </c>
      <c r="S52" s="591">
        <v>1458.3333333333333</v>
      </c>
      <c r="T52" s="591">
        <v>1458.3333333333333</v>
      </c>
      <c r="U52" s="591">
        <v>1458.3333333333333</v>
      </c>
      <c r="V52" s="591">
        <v>1458.3333333333333</v>
      </c>
      <c r="W52" s="591">
        <v>1458.3333333333333</v>
      </c>
      <c r="X52" s="598">
        <v>1458.3333333333333</v>
      </c>
      <c r="Y52" s="850">
        <v>1458.3333333333333</v>
      </c>
      <c r="Z52" s="591">
        <v>1458.3333333333333</v>
      </c>
      <c r="AA52" s="591">
        <v>1458.3333333333333</v>
      </c>
      <c r="AB52" s="591">
        <v>1458.3333333333333</v>
      </c>
      <c r="AC52" s="591">
        <v>1458.3333333333333</v>
      </c>
      <c r="AD52" s="591">
        <v>1458.3333333333333</v>
      </c>
      <c r="AE52" s="591">
        <v>1458.3333333333333</v>
      </c>
      <c r="AF52" s="591">
        <v>1458.3333333333333</v>
      </c>
      <c r="AG52" s="591">
        <v>1458.3333333333333</v>
      </c>
      <c r="AH52" s="591">
        <v>1458.3333333333333</v>
      </c>
      <c r="AI52" s="591">
        <v>1458.3333333333333</v>
      </c>
      <c r="AJ52" s="598">
        <v>1458.3333333333333</v>
      </c>
      <c r="AK52" s="860" t="str">
        <f t="shared" si="23"/>
        <v>Si</v>
      </c>
      <c r="AL52" s="862">
        <f t="shared" si="24"/>
        <v>34999.999999999993</v>
      </c>
    </row>
    <row r="53" spans="2:38" ht="28.8" x14ac:dyDescent="0.3">
      <c r="B53" s="407" t="s">
        <v>57</v>
      </c>
      <c r="C53" s="435" t="s">
        <v>84</v>
      </c>
      <c r="D53" s="435"/>
      <c r="E53" s="435"/>
      <c r="F53" s="435" t="s">
        <v>1518</v>
      </c>
      <c r="G53" s="435"/>
      <c r="H53" s="405" t="s">
        <v>85</v>
      </c>
      <c r="I53" s="406">
        <v>4000</v>
      </c>
      <c r="J53" s="406">
        <v>4000</v>
      </c>
      <c r="K53" s="436" t="s">
        <v>63</v>
      </c>
      <c r="L53" s="411" t="s">
        <v>63</v>
      </c>
      <c r="M53" s="711"/>
      <c r="N53" s="710"/>
      <c r="O53" s="591">
        <v>1000</v>
      </c>
      <c r="P53" s="710"/>
      <c r="Q53" s="710"/>
      <c r="R53" s="710"/>
      <c r="S53" s="710"/>
      <c r="T53" s="710"/>
      <c r="U53" s="710"/>
      <c r="V53" s="591">
        <v>1000</v>
      </c>
      <c r="W53" s="710"/>
      <c r="X53" s="712"/>
      <c r="Y53" s="847"/>
      <c r="Z53" s="710"/>
      <c r="AA53" s="591">
        <v>1000</v>
      </c>
      <c r="AB53" s="710"/>
      <c r="AC53" s="710"/>
      <c r="AD53" s="710"/>
      <c r="AE53" s="710"/>
      <c r="AF53" s="710"/>
      <c r="AG53" s="710"/>
      <c r="AH53" s="591">
        <v>1000</v>
      </c>
      <c r="AI53" s="710"/>
      <c r="AJ53" s="712"/>
      <c r="AK53" s="860" t="str">
        <f t="shared" si="23"/>
        <v>Si</v>
      </c>
      <c r="AL53" s="862">
        <f t="shared" si="24"/>
        <v>4000</v>
      </c>
    </row>
    <row r="54" spans="2:38" x14ac:dyDescent="0.3">
      <c r="B54" s="407" t="s">
        <v>57</v>
      </c>
      <c r="C54" s="435" t="s">
        <v>86</v>
      </c>
      <c r="D54" s="435"/>
      <c r="E54" s="435"/>
      <c r="F54" s="435" t="s">
        <v>1518</v>
      </c>
      <c r="G54" s="435"/>
      <c r="H54" s="405" t="s">
        <v>87</v>
      </c>
      <c r="I54" s="406">
        <v>3000</v>
      </c>
      <c r="J54" s="406">
        <v>5000</v>
      </c>
      <c r="K54" s="436" t="s">
        <v>63</v>
      </c>
      <c r="L54" s="411" t="s">
        <v>63</v>
      </c>
      <c r="M54" s="711"/>
      <c r="N54" s="710"/>
      <c r="O54" s="710"/>
      <c r="P54" s="710"/>
      <c r="Q54" s="710"/>
      <c r="R54" s="591">
        <v>2500</v>
      </c>
      <c r="S54" s="710"/>
      <c r="T54" s="710"/>
      <c r="U54" s="710"/>
      <c r="V54" s="710"/>
      <c r="W54" s="710"/>
      <c r="X54" s="712"/>
      <c r="Y54" s="847"/>
      <c r="Z54" s="710"/>
      <c r="AA54" s="710"/>
      <c r="AB54" s="710"/>
      <c r="AC54" s="710"/>
      <c r="AD54" s="591">
        <v>2500</v>
      </c>
      <c r="AE54" s="710"/>
      <c r="AF54" s="710"/>
      <c r="AG54" s="710"/>
      <c r="AH54" s="710"/>
      <c r="AI54" s="710"/>
      <c r="AJ54" s="712"/>
      <c r="AK54" s="860" t="str">
        <f t="shared" si="23"/>
        <v>Si</v>
      </c>
      <c r="AL54" s="862">
        <f t="shared" si="24"/>
        <v>5000</v>
      </c>
    </row>
    <row r="55" spans="2:38" x14ac:dyDescent="0.3">
      <c r="B55" s="407" t="s">
        <v>57</v>
      </c>
      <c r="C55" s="435" t="s">
        <v>88</v>
      </c>
      <c r="D55" s="435"/>
      <c r="E55" s="435"/>
      <c r="F55" s="435" t="s">
        <v>1518</v>
      </c>
      <c r="G55" s="435"/>
      <c r="H55" s="405" t="s">
        <v>89</v>
      </c>
      <c r="I55" s="406">
        <v>15000</v>
      </c>
      <c r="J55" s="406">
        <v>15000</v>
      </c>
      <c r="K55" s="436" t="s">
        <v>63</v>
      </c>
      <c r="L55" s="411" t="s">
        <v>63</v>
      </c>
      <c r="M55" s="597">
        <v>625</v>
      </c>
      <c r="N55" s="591">
        <v>625</v>
      </c>
      <c r="O55" s="591">
        <v>625</v>
      </c>
      <c r="P55" s="591">
        <v>625</v>
      </c>
      <c r="Q55" s="591">
        <v>625</v>
      </c>
      <c r="R55" s="591">
        <v>625</v>
      </c>
      <c r="S55" s="591">
        <v>625</v>
      </c>
      <c r="T55" s="591">
        <v>625</v>
      </c>
      <c r="U55" s="591">
        <v>625</v>
      </c>
      <c r="V55" s="591">
        <v>625</v>
      </c>
      <c r="W55" s="591">
        <v>625</v>
      </c>
      <c r="X55" s="598">
        <v>625</v>
      </c>
      <c r="Y55" s="850">
        <v>625</v>
      </c>
      <c r="Z55" s="591">
        <v>625</v>
      </c>
      <c r="AA55" s="591">
        <v>625</v>
      </c>
      <c r="AB55" s="591">
        <v>625</v>
      </c>
      <c r="AC55" s="591">
        <v>625</v>
      </c>
      <c r="AD55" s="591">
        <v>625</v>
      </c>
      <c r="AE55" s="591">
        <v>625</v>
      </c>
      <c r="AF55" s="591">
        <v>625</v>
      </c>
      <c r="AG55" s="591">
        <v>625</v>
      </c>
      <c r="AH55" s="591">
        <v>625</v>
      </c>
      <c r="AI55" s="591">
        <v>625</v>
      </c>
      <c r="AJ55" s="598">
        <v>625</v>
      </c>
      <c r="AK55" s="860" t="str">
        <f t="shared" si="23"/>
        <v>Si</v>
      </c>
      <c r="AL55" s="862">
        <f t="shared" si="24"/>
        <v>15000</v>
      </c>
    </row>
    <row r="56" spans="2:38" x14ac:dyDescent="0.3">
      <c r="B56" s="407" t="s">
        <v>57</v>
      </c>
      <c r="C56" s="435" t="s">
        <v>90</v>
      </c>
      <c r="D56" s="435"/>
      <c r="E56" s="435"/>
      <c r="F56" s="435" t="s">
        <v>1518</v>
      </c>
      <c r="G56" s="435"/>
      <c r="H56" s="405" t="s">
        <v>91</v>
      </c>
      <c r="I56" s="406">
        <v>40000</v>
      </c>
      <c r="J56" s="406">
        <v>25000</v>
      </c>
      <c r="K56" s="436" t="s">
        <v>63</v>
      </c>
      <c r="L56" s="411" t="s">
        <v>63</v>
      </c>
      <c r="M56" s="597">
        <v>1041.6666666666667</v>
      </c>
      <c r="N56" s="591">
        <v>1041.6666666666667</v>
      </c>
      <c r="O56" s="591">
        <v>1041.6666666666667</v>
      </c>
      <c r="P56" s="591">
        <v>1041.6666666666667</v>
      </c>
      <c r="Q56" s="591">
        <v>1041.6666666666667</v>
      </c>
      <c r="R56" s="591">
        <v>1041.6666666666667</v>
      </c>
      <c r="S56" s="591">
        <v>1041.6666666666667</v>
      </c>
      <c r="T56" s="591">
        <v>1041.6666666666667</v>
      </c>
      <c r="U56" s="591">
        <v>1041.6666666666667</v>
      </c>
      <c r="V56" s="591">
        <v>1041.6666666666667</v>
      </c>
      <c r="W56" s="591">
        <v>1041.6666666666667</v>
      </c>
      <c r="X56" s="598">
        <v>1041.6666666666667</v>
      </c>
      <c r="Y56" s="850">
        <v>1041.6666666666667</v>
      </c>
      <c r="Z56" s="591">
        <v>1041.6666666666667</v>
      </c>
      <c r="AA56" s="591">
        <v>1041.6666666666667</v>
      </c>
      <c r="AB56" s="591">
        <v>1041.6666666666667</v>
      </c>
      <c r="AC56" s="591">
        <v>1041.6666666666667</v>
      </c>
      <c r="AD56" s="591">
        <v>1041.6666666666667</v>
      </c>
      <c r="AE56" s="591">
        <v>1041.6666666666667</v>
      </c>
      <c r="AF56" s="591">
        <v>1041.6666666666667</v>
      </c>
      <c r="AG56" s="591">
        <v>1041.6666666666667</v>
      </c>
      <c r="AH56" s="591">
        <v>1041.6666666666667</v>
      </c>
      <c r="AI56" s="591">
        <v>1041.6666666666667</v>
      </c>
      <c r="AJ56" s="598">
        <v>1041.6666666666667</v>
      </c>
      <c r="AK56" s="860" t="str">
        <f t="shared" si="23"/>
        <v>Si</v>
      </c>
      <c r="AL56" s="862">
        <f t="shared" si="24"/>
        <v>25000.000000000007</v>
      </c>
    </row>
    <row r="57" spans="2:38" x14ac:dyDescent="0.3">
      <c r="B57" s="407" t="s">
        <v>57</v>
      </c>
      <c r="C57" s="435" t="s">
        <v>24</v>
      </c>
      <c r="D57" s="435"/>
      <c r="E57" s="435"/>
      <c r="F57" s="435" t="s">
        <v>1518</v>
      </c>
      <c r="G57" s="435"/>
      <c r="H57" s="405" t="s">
        <v>92</v>
      </c>
      <c r="I57" s="388">
        <f>1140150-110370-30000</f>
        <v>999780</v>
      </c>
      <c r="J57" s="388">
        <v>948856.94165371906</v>
      </c>
      <c r="K57" s="436" t="s">
        <v>63</v>
      </c>
      <c r="L57" s="411" t="s">
        <v>63</v>
      </c>
      <c r="M57" s="597">
        <f>+J57/24</f>
        <v>39535.705902238296</v>
      </c>
      <c r="N57" s="591">
        <v>39535.705902238296</v>
      </c>
      <c r="O57" s="591">
        <v>39535.705902238296</v>
      </c>
      <c r="P57" s="591">
        <v>39535.705902238296</v>
      </c>
      <c r="Q57" s="591">
        <v>39535.705902238296</v>
      </c>
      <c r="R57" s="591">
        <v>39535.705902238296</v>
      </c>
      <c r="S57" s="591">
        <v>39535.705902238296</v>
      </c>
      <c r="T57" s="591">
        <v>39535.705902238296</v>
      </c>
      <c r="U57" s="591">
        <v>39535.705902238296</v>
      </c>
      <c r="V57" s="591">
        <v>39535.705902238296</v>
      </c>
      <c r="W57" s="591">
        <v>39535.705902238296</v>
      </c>
      <c r="X57" s="598">
        <v>39535.705902238296</v>
      </c>
      <c r="Y57" s="850">
        <v>39535.705902238296</v>
      </c>
      <c r="Z57" s="591">
        <v>39535.705902238296</v>
      </c>
      <c r="AA57" s="591">
        <v>39535.705902238296</v>
      </c>
      <c r="AB57" s="591">
        <v>39535.705902238296</v>
      </c>
      <c r="AC57" s="591">
        <v>39535.705902238296</v>
      </c>
      <c r="AD57" s="591">
        <v>39535.705902238296</v>
      </c>
      <c r="AE57" s="591">
        <v>39535.705902238296</v>
      </c>
      <c r="AF57" s="591">
        <v>39535.705902238296</v>
      </c>
      <c r="AG57" s="591">
        <v>39535.705902238296</v>
      </c>
      <c r="AH57" s="591">
        <v>39535.705902238296</v>
      </c>
      <c r="AI57" s="591">
        <v>39535.705902238296</v>
      </c>
      <c r="AJ57" s="598">
        <v>39535.705902238296</v>
      </c>
      <c r="AK57" s="860" t="str">
        <f t="shared" si="23"/>
        <v>Si</v>
      </c>
      <c r="AL57" s="862">
        <f t="shared" si="24"/>
        <v>948856.94165371882</v>
      </c>
    </row>
    <row r="58" spans="2:38" x14ac:dyDescent="0.3">
      <c r="B58" s="407" t="s">
        <v>57</v>
      </c>
      <c r="C58" s="435" t="s">
        <v>93</v>
      </c>
      <c r="D58" s="435"/>
      <c r="E58" s="435"/>
      <c r="F58" s="435" t="s">
        <v>1518</v>
      </c>
      <c r="G58" s="435"/>
      <c r="H58" s="405" t="s">
        <v>94</v>
      </c>
      <c r="I58" s="388">
        <v>15000</v>
      </c>
      <c r="J58" s="388">
        <v>15000</v>
      </c>
      <c r="K58" s="436" t="s">
        <v>63</v>
      </c>
      <c r="L58" s="411" t="s">
        <v>63</v>
      </c>
      <c r="M58" s="597">
        <v>625</v>
      </c>
      <c r="N58" s="591">
        <v>625</v>
      </c>
      <c r="O58" s="591">
        <v>625</v>
      </c>
      <c r="P58" s="591">
        <v>625</v>
      </c>
      <c r="Q58" s="591">
        <v>625</v>
      </c>
      <c r="R58" s="591">
        <v>625</v>
      </c>
      <c r="S58" s="591">
        <v>625</v>
      </c>
      <c r="T58" s="591">
        <v>625</v>
      </c>
      <c r="U58" s="591">
        <v>625</v>
      </c>
      <c r="V58" s="591">
        <v>625</v>
      </c>
      <c r="W58" s="591">
        <v>625</v>
      </c>
      <c r="X58" s="598">
        <v>625</v>
      </c>
      <c r="Y58" s="850">
        <v>625</v>
      </c>
      <c r="Z58" s="591">
        <v>625</v>
      </c>
      <c r="AA58" s="591">
        <v>625</v>
      </c>
      <c r="AB58" s="591">
        <v>625</v>
      </c>
      <c r="AC58" s="591">
        <v>625</v>
      </c>
      <c r="AD58" s="591">
        <v>625</v>
      </c>
      <c r="AE58" s="591">
        <v>625</v>
      </c>
      <c r="AF58" s="591">
        <v>625</v>
      </c>
      <c r="AG58" s="591">
        <v>625</v>
      </c>
      <c r="AH58" s="591">
        <v>625</v>
      </c>
      <c r="AI58" s="591">
        <v>625</v>
      </c>
      <c r="AJ58" s="598">
        <v>625</v>
      </c>
      <c r="AK58" s="860" t="str">
        <f t="shared" si="23"/>
        <v>Si</v>
      </c>
      <c r="AL58" s="862">
        <f t="shared" si="24"/>
        <v>15000</v>
      </c>
    </row>
    <row r="59" spans="2:38" x14ac:dyDescent="0.3">
      <c r="B59" s="407" t="s">
        <v>57</v>
      </c>
      <c r="C59" s="435" t="s">
        <v>95</v>
      </c>
      <c r="D59" s="435"/>
      <c r="E59" s="435"/>
      <c r="F59" s="435" t="s">
        <v>1518</v>
      </c>
      <c r="G59" s="435"/>
      <c r="H59" s="405" t="s">
        <v>96</v>
      </c>
      <c r="I59" s="388">
        <f>1293.32+12175.38</f>
        <v>13468.699999999999</v>
      </c>
      <c r="J59" s="388">
        <v>13468.699999999999</v>
      </c>
      <c r="K59" s="436" t="s">
        <v>63</v>
      </c>
      <c r="L59" s="411" t="s">
        <v>63</v>
      </c>
      <c r="M59" s="591">
        <v>561.19583333333333</v>
      </c>
      <c r="N59" s="591">
        <v>561.19583333333333</v>
      </c>
      <c r="O59" s="591">
        <v>561.19583333333333</v>
      </c>
      <c r="P59" s="591">
        <v>561.19583333333333</v>
      </c>
      <c r="Q59" s="591">
        <v>561.19583333333333</v>
      </c>
      <c r="R59" s="591">
        <v>561.19583333333333</v>
      </c>
      <c r="S59" s="591">
        <v>561.19583333333333</v>
      </c>
      <c r="T59" s="591">
        <v>561.19583333333333</v>
      </c>
      <c r="U59" s="591">
        <v>561.19583333333333</v>
      </c>
      <c r="V59" s="591">
        <v>561.19583333333333</v>
      </c>
      <c r="W59" s="591">
        <v>561.19583333333333</v>
      </c>
      <c r="X59" s="598">
        <v>561.19583333333333</v>
      </c>
      <c r="Y59" s="850">
        <v>561.19583333333333</v>
      </c>
      <c r="Z59" s="591">
        <v>561.19583333333333</v>
      </c>
      <c r="AA59" s="591">
        <v>561.19583333333333</v>
      </c>
      <c r="AB59" s="591">
        <v>561.19583333333333</v>
      </c>
      <c r="AC59" s="591">
        <v>561.19583333333333</v>
      </c>
      <c r="AD59" s="591">
        <v>561.19583333333333</v>
      </c>
      <c r="AE59" s="591">
        <v>561.19583333333333</v>
      </c>
      <c r="AF59" s="591">
        <v>561.19583333333333</v>
      </c>
      <c r="AG59" s="591">
        <v>561.19583333333333</v>
      </c>
      <c r="AH59" s="591">
        <v>561.19583333333333</v>
      </c>
      <c r="AI59" s="591">
        <v>561.19583333333333</v>
      </c>
      <c r="AJ59" s="598">
        <v>561.19583333333333</v>
      </c>
      <c r="AK59" s="860" t="str">
        <f t="shared" si="23"/>
        <v>Si</v>
      </c>
      <c r="AL59" s="862">
        <f t="shared" si="24"/>
        <v>13468.699999999999</v>
      </c>
    </row>
    <row r="60" spans="2:38" x14ac:dyDescent="0.3">
      <c r="B60" s="407" t="s">
        <v>57</v>
      </c>
      <c r="C60" s="435" t="s">
        <v>97</v>
      </c>
      <c r="D60" s="435"/>
      <c r="E60" s="435"/>
      <c r="F60" s="435" t="s">
        <v>1518</v>
      </c>
      <c r="G60" s="435"/>
      <c r="H60" s="405" t="s">
        <v>98</v>
      </c>
      <c r="I60" s="406">
        <v>10757.78</v>
      </c>
      <c r="J60" s="406">
        <v>7500</v>
      </c>
      <c r="K60" s="436" t="s">
        <v>63</v>
      </c>
      <c r="L60" s="411" t="s">
        <v>63</v>
      </c>
      <c r="M60" s="597">
        <v>312.5</v>
      </c>
      <c r="N60" s="591">
        <v>312.5</v>
      </c>
      <c r="O60" s="591">
        <v>312.5</v>
      </c>
      <c r="P60" s="591">
        <v>312.5</v>
      </c>
      <c r="Q60" s="591">
        <v>312.5</v>
      </c>
      <c r="R60" s="591">
        <v>312.5</v>
      </c>
      <c r="S60" s="591">
        <v>312.5</v>
      </c>
      <c r="T60" s="591">
        <v>312.5</v>
      </c>
      <c r="U60" s="591">
        <v>312.5</v>
      </c>
      <c r="V60" s="591">
        <v>312.5</v>
      </c>
      <c r="W60" s="591">
        <v>312.5</v>
      </c>
      <c r="X60" s="598">
        <v>312.5</v>
      </c>
      <c r="Y60" s="850">
        <v>312.5</v>
      </c>
      <c r="Z60" s="591">
        <v>312.5</v>
      </c>
      <c r="AA60" s="591">
        <v>312.5</v>
      </c>
      <c r="AB60" s="591">
        <v>312.5</v>
      </c>
      <c r="AC60" s="591">
        <v>312.5</v>
      </c>
      <c r="AD60" s="591">
        <v>312.5</v>
      </c>
      <c r="AE60" s="591">
        <v>312.5</v>
      </c>
      <c r="AF60" s="591">
        <v>312.5</v>
      </c>
      <c r="AG60" s="591">
        <v>312.5</v>
      </c>
      <c r="AH60" s="591">
        <v>312.5</v>
      </c>
      <c r="AI60" s="591">
        <v>312.5</v>
      </c>
      <c r="AJ60" s="598">
        <v>312.5</v>
      </c>
      <c r="AK60" s="860" t="str">
        <f t="shared" si="23"/>
        <v>Si</v>
      </c>
      <c r="AL60" s="862">
        <f t="shared" si="24"/>
        <v>7500</v>
      </c>
    </row>
    <row r="61" spans="2:38" x14ac:dyDescent="0.3">
      <c r="B61" s="407" t="s">
        <v>57</v>
      </c>
      <c r="C61" s="435" t="s">
        <v>99</v>
      </c>
      <c r="D61" s="435"/>
      <c r="E61" s="435"/>
      <c r="F61" s="435" t="s">
        <v>1518</v>
      </c>
      <c r="G61" s="435"/>
      <c r="H61" s="405" t="s">
        <v>100</v>
      </c>
      <c r="I61" s="406">
        <v>4500</v>
      </c>
      <c r="J61" s="406">
        <v>4500</v>
      </c>
      <c r="K61" s="436" t="s">
        <v>63</v>
      </c>
      <c r="L61" s="411" t="s">
        <v>63</v>
      </c>
      <c r="M61" s="597">
        <v>187.5</v>
      </c>
      <c r="N61" s="591">
        <v>187.5</v>
      </c>
      <c r="O61" s="591">
        <v>187.5</v>
      </c>
      <c r="P61" s="591">
        <v>187.5</v>
      </c>
      <c r="Q61" s="591">
        <v>187.5</v>
      </c>
      <c r="R61" s="591">
        <v>187.5</v>
      </c>
      <c r="S61" s="591">
        <v>187.5</v>
      </c>
      <c r="T61" s="591">
        <v>187.5</v>
      </c>
      <c r="U61" s="591">
        <v>187.5</v>
      </c>
      <c r="V61" s="591">
        <v>187.5</v>
      </c>
      <c r="W61" s="591">
        <v>187.5</v>
      </c>
      <c r="X61" s="598">
        <v>187.5</v>
      </c>
      <c r="Y61" s="850">
        <v>187.5</v>
      </c>
      <c r="Z61" s="591">
        <v>187.5</v>
      </c>
      <c r="AA61" s="591">
        <v>187.5</v>
      </c>
      <c r="AB61" s="591">
        <v>187.5</v>
      </c>
      <c r="AC61" s="591">
        <v>187.5</v>
      </c>
      <c r="AD61" s="591">
        <v>187.5</v>
      </c>
      <c r="AE61" s="591">
        <v>187.5</v>
      </c>
      <c r="AF61" s="591">
        <v>187.5</v>
      </c>
      <c r="AG61" s="591">
        <v>187.5</v>
      </c>
      <c r="AH61" s="591">
        <v>187.5</v>
      </c>
      <c r="AI61" s="591">
        <v>187.5</v>
      </c>
      <c r="AJ61" s="598">
        <v>187.5</v>
      </c>
      <c r="AK61" s="860" t="str">
        <f t="shared" si="23"/>
        <v>Si</v>
      </c>
      <c r="AL61" s="862">
        <f t="shared" si="24"/>
        <v>4500</v>
      </c>
    </row>
    <row r="62" spans="2:38" x14ac:dyDescent="0.3">
      <c r="B62" s="407" t="s">
        <v>57</v>
      </c>
      <c r="C62" s="435" t="s">
        <v>101</v>
      </c>
      <c r="D62" s="435"/>
      <c r="E62" s="435"/>
      <c r="F62" s="435" t="s">
        <v>1518</v>
      </c>
      <c r="G62" s="435"/>
      <c r="H62" s="405" t="s">
        <v>102</v>
      </c>
      <c r="I62" s="406">
        <v>500</v>
      </c>
      <c r="J62" s="406">
        <v>500</v>
      </c>
      <c r="K62" s="436" t="s">
        <v>63</v>
      </c>
      <c r="L62" s="411" t="s">
        <v>63</v>
      </c>
      <c r="M62" s="711"/>
      <c r="N62" s="591">
        <v>500</v>
      </c>
      <c r="O62" s="710"/>
      <c r="P62" s="710"/>
      <c r="Q62" s="710"/>
      <c r="R62" s="710"/>
      <c r="S62" s="710"/>
      <c r="T62" s="710"/>
      <c r="U62" s="710"/>
      <c r="V62" s="710"/>
      <c r="W62" s="710"/>
      <c r="X62" s="712"/>
      <c r="Y62" s="847"/>
      <c r="Z62" s="710"/>
      <c r="AA62" s="710"/>
      <c r="AB62" s="710"/>
      <c r="AC62" s="710"/>
      <c r="AD62" s="710"/>
      <c r="AE62" s="710"/>
      <c r="AF62" s="710"/>
      <c r="AG62" s="710"/>
      <c r="AH62" s="710"/>
      <c r="AI62" s="710"/>
      <c r="AJ62" s="712"/>
      <c r="AK62" s="860" t="str">
        <f t="shared" si="23"/>
        <v>Si</v>
      </c>
      <c r="AL62" s="862">
        <f t="shared" si="24"/>
        <v>500</v>
      </c>
    </row>
    <row r="63" spans="2:38" x14ac:dyDescent="0.3">
      <c r="B63" s="407" t="s">
        <v>57</v>
      </c>
      <c r="C63" s="435" t="s">
        <v>103</v>
      </c>
      <c r="D63" s="435"/>
      <c r="E63" s="435"/>
      <c r="F63" s="435" t="s">
        <v>1518</v>
      </c>
      <c r="G63" s="435"/>
      <c r="H63" s="405" t="s">
        <v>104</v>
      </c>
      <c r="I63" s="406">
        <v>1212.45</v>
      </c>
      <c r="J63" s="406">
        <v>1212.45</v>
      </c>
      <c r="K63" s="436" t="s">
        <v>63</v>
      </c>
      <c r="L63" s="411" t="s">
        <v>63</v>
      </c>
      <c r="M63" s="597">
        <v>50.518750000000004</v>
      </c>
      <c r="N63" s="591">
        <v>50.518750000000004</v>
      </c>
      <c r="O63" s="591">
        <v>50.518750000000004</v>
      </c>
      <c r="P63" s="591">
        <v>50.518750000000004</v>
      </c>
      <c r="Q63" s="591">
        <v>50.518750000000004</v>
      </c>
      <c r="R63" s="591">
        <v>50.518750000000004</v>
      </c>
      <c r="S63" s="591">
        <v>50.518750000000004</v>
      </c>
      <c r="T63" s="591">
        <v>50.518750000000004</v>
      </c>
      <c r="U63" s="591">
        <v>50.518750000000004</v>
      </c>
      <c r="V63" s="591">
        <v>50.518750000000004</v>
      </c>
      <c r="W63" s="591">
        <v>50.518750000000004</v>
      </c>
      <c r="X63" s="598">
        <v>50.518750000000004</v>
      </c>
      <c r="Y63" s="850">
        <v>50.518750000000004</v>
      </c>
      <c r="Z63" s="591">
        <v>50.518750000000004</v>
      </c>
      <c r="AA63" s="591">
        <v>50.518750000000004</v>
      </c>
      <c r="AB63" s="591">
        <v>50.518750000000004</v>
      </c>
      <c r="AC63" s="591">
        <v>50.518750000000004</v>
      </c>
      <c r="AD63" s="591">
        <v>50.518750000000004</v>
      </c>
      <c r="AE63" s="591">
        <v>50.518750000000004</v>
      </c>
      <c r="AF63" s="591">
        <v>50.518750000000004</v>
      </c>
      <c r="AG63" s="591">
        <v>50.518750000000004</v>
      </c>
      <c r="AH63" s="591">
        <v>50.518750000000004</v>
      </c>
      <c r="AI63" s="591">
        <v>50.518750000000004</v>
      </c>
      <c r="AJ63" s="598">
        <v>50.518750000000004</v>
      </c>
      <c r="AK63" s="860" t="str">
        <f t="shared" si="23"/>
        <v>Si</v>
      </c>
      <c r="AL63" s="862">
        <f t="shared" si="24"/>
        <v>1212.4499999999996</v>
      </c>
    </row>
    <row r="64" spans="2:38" x14ac:dyDescent="0.3">
      <c r="B64" s="407" t="s">
        <v>57</v>
      </c>
      <c r="C64" s="435" t="s">
        <v>105</v>
      </c>
      <c r="D64" s="435"/>
      <c r="E64" s="435"/>
      <c r="F64" s="435" t="s">
        <v>1518</v>
      </c>
      <c r="G64" s="435"/>
      <c r="H64" s="405" t="s">
        <v>106</v>
      </c>
      <c r="I64" s="406">
        <v>13475.09</v>
      </c>
      <c r="J64" s="406">
        <v>7500</v>
      </c>
      <c r="K64" s="436" t="s">
        <v>63</v>
      </c>
      <c r="L64" s="411" t="s">
        <v>63</v>
      </c>
      <c r="M64" s="711"/>
      <c r="N64" s="591">
        <v>312.5</v>
      </c>
      <c r="O64" s="591">
        <v>312.5</v>
      </c>
      <c r="P64" s="591">
        <v>312.5</v>
      </c>
      <c r="Q64" s="591">
        <v>312.5</v>
      </c>
      <c r="R64" s="591">
        <v>312.5</v>
      </c>
      <c r="S64" s="591">
        <v>312.5</v>
      </c>
      <c r="T64" s="591">
        <v>312.5</v>
      </c>
      <c r="U64" s="591">
        <v>312.5</v>
      </c>
      <c r="V64" s="591">
        <v>312.5</v>
      </c>
      <c r="W64" s="591">
        <v>312.5</v>
      </c>
      <c r="X64" s="598">
        <v>312.5</v>
      </c>
      <c r="Y64" s="850">
        <v>312.5</v>
      </c>
      <c r="Z64" s="591">
        <v>312.5</v>
      </c>
      <c r="AA64" s="591">
        <v>312.5</v>
      </c>
      <c r="AB64" s="591">
        <v>312.5</v>
      </c>
      <c r="AC64" s="591">
        <v>312.5</v>
      </c>
      <c r="AD64" s="591">
        <v>312.5</v>
      </c>
      <c r="AE64" s="591">
        <v>312.5</v>
      </c>
      <c r="AF64" s="591">
        <v>312.5</v>
      </c>
      <c r="AG64" s="591">
        <v>312.5</v>
      </c>
      <c r="AH64" s="591">
        <v>312.5</v>
      </c>
      <c r="AI64" s="591">
        <v>312.5</v>
      </c>
      <c r="AJ64" s="598">
        <v>625</v>
      </c>
      <c r="AK64" s="860" t="str">
        <f t="shared" si="23"/>
        <v>Si</v>
      </c>
      <c r="AL64" s="862">
        <f t="shared" si="24"/>
        <v>7500</v>
      </c>
    </row>
    <row r="65" spans="2:38" x14ac:dyDescent="0.3">
      <c r="B65" s="407" t="s">
        <v>57</v>
      </c>
      <c r="C65" s="435" t="s">
        <v>107</v>
      </c>
      <c r="D65" s="435"/>
      <c r="E65" s="435"/>
      <c r="F65" s="435" t="s">
        <v>1518</v>
      </c>
      <c r="G65" s="435"/>
      <c r="H65" s="405" t="s">
        <v>108</v>
      </c>
      <c r="I65" s="406">
        <v>7500</v>
      </c>
      <c r="J65" s="406">
        <v>7500</v>
      </c>
      <c r="K65" s="436" t="s">
        <v>63</v>
      </c>
      <c r="L65" s="411" t="s">
        <v>63</v>
      </c>
      <c r="M65" s="711"/>
      <c r="N65" s="591">
        <v>312.5</v>
      </c>
      <c r="O65" s="591">
        <v>312.5</v>
      </c>
      <c r="P65" s="591">
        <v>312.5</v>
      </c>
      <c r="Q65" s="591">
        <v>312.5</v>
      </c>
      <c r="R65" s="591">
        <v>312.5</v>
      </c>
      <c r="S65" s="591">
        <v>312.5</v>
      </c>
      <c r="T65" s="591">
        <v>312.5</v>
      </c>
      <c r="U65" s="591">
        <v>312.5</v>
      </c>
      <c r="V65" s="591">
        <v>312.5</v>
      </c>
      <c r="W65" s="591">
        <v>312.5</v>
      </c>
      <c r="X65" s="598">
        <v>312.5</v>
      </c>
      <c r="Y65" s="850">
        <v>312.5</v>
      </c>
      <c r="Z65" s="591">
        <v>312.5</v>
      </c>
      <c r="AA65" s="591">
        <v>312.5</v>
      </c>
      <c r="AB65" s="591">
        <v>312.5</v>
      </c>
      <c r="AC65" s="591">
        <v>312.5</v>
      </c>
      <c r="AD65" s="591">
        <v>312.5</v>
      </c>
      <c r="AE65" s="591">
        <v>312.5</v>
      </c>
      <c r="AF65" s="591">
        <v>312.5</v>
      </c>
      <c r="AG65" s="591">
        <v>312.5</v>
      </c>
      <c r="AH65" s="591">
        <v>312.5</v>
      </c>
      <c r="AI65" s="591">
        <v>312.5</v>
      </c>
      <c r="AJ65" s="598">
        <v>625</v>
      </c>
      <c r="AK65" s="860" t="str">
        <f t="shared" si="23"/>
        <v>Si</v>
      </c>
      <c r="AL65" s="862">
        <f t="shared" si="24"/>
        <v>7500</v>
      </c>
    </row>
    <row r="66" spans="2:38" x14ac:dyDescent="0.3">
      <c r="B66" s="407" t="s">
        <v>57</v>
      </c>
      <c r="C66" s="435" t="s">
        <v>109</v>
      </c>
      <c r="D66" s="435"/>
      <c r="E66" s="435"/>
      <c r="F66" s="435" t="s">
        <v>1518</v>
      </c>
      <c r="G66" s="435"/>
      <c r="H66" s="405" t="s">
        <v>96</v>
      </c>
      <c r="I66" s="406">
        <v>2586.64</v>
      </c>
      <c r="J66" s="406">
        <v>2586.64</v>
      </c>
      <c r="K66" s="436" t="s">
        <v>63</v>
      </c>
      <c r="L66" s="411" t="s">
        <v>63</v>
      </c>
      <c r="M66" s="711"/>
      <c r="N66" s="591">
        <v>107.77666666666666</v>
      </c>
      <c r="O66" s="591">
        <v>107.77666666666666</v>
      </c>
      <c r="P66" s="591">
        <v>107.77666666666666</v>
      </c>
      <c r="Q66" s="591">
        <v>107.77666666666666</v>
      </c>
      <c r="R66" s="591">
        <v>107.77666666666666</v>
      </c>
      <c r="S66" s="591">
        <v>107.77666666666666</v>
      </c>
      <c r="T66" s="591">
        <v>107.77666666666666</v>
      </c>
      <c r="U66" s="591">
        <v>107.77666666666666</v>
      </c>
      <c r="V66" s="591">
        <v>107.77666666666666</v>
      </c>
      <c r="W66" s="591">
        <v>107.77666666666666</v>
      </c>
      <c r="X66" s="598">
        <v>107.77666666666666</v>
      </c>
      <c r="Y66" s="850">
        <v>107.77666666666666</v>
      </c>
      <c r="Z66" s="591">
        <v>107.77666666666666</v>
      </c>
      <c r="AA66" s="591">
        <v>107.77666666666666</v>
      </c>
      <c r="AB66" s="591">
        <v>107.77666666666666</v>
      </c>
      <c r="AC66" s="591">
        <v>107.77666666666666</v>
      </c>
      <c r="AD66" s="591">
        <v>107.77666666666666</v>
      </c>
      <c r="AE66" s="591">
        <v>107.77666666666666</v>
      </c>
      <c r="AF66" s="591">
        <v>107.77666666666666</v>
      </c>
      <c r="AG66" s="591">
        <v>107.77666666666666</v>
      </c>
      <c r="AH66" s="591">
        <v>107.77666666666666</v>
      </c>
      <c r="AI66" s="591">
        <v>107.77666666666666</v>
      </c>
      <c r="AJ66" s="598">
        <v>215.553333333334</v>
      </c>
      <c r="AK66" s="860" t="str">
        <f t="shared" si="23"/>
        <v>Si</v>
      </c>
      <c r="AL66" s="862">
        <f t="shared" si="24"/>
        <v>2586.6400000000008</v>
      </c>
    </row>
    <row r="67" spans="2:38" x14ac:dyDescent="0.3">
      <c r="B67" s="397" t="s">
        <v>57</v>
      </c>
      <c r="C67" s="442" t="s">
        <v>110</v>
      </c>
      <c r="D67" s="442"/>
      <c r="E67" s="442"/>
      <c r="F67" s="442" t="s">
        <v>1518</v>
      </c>
      <c r="G67" s="442"/>
      <c r="H67" s="160" t="s">
        <v>111</v>
      </c>
      <c r="I67" s="406">
        <v>18268.13</v>
      </c>
      <c r="J67" s="406">
        <v>10000</v>
      </c>
      <c r="K67" s="442" t="s">
        <v>63</v>
      </c>
      <c r="L67" s="411" t="s">
        <v>63</v>
      </c>
      <c r="M67" s="591">
        <v>416.66666666666669</v>
      </c>
      <c r="N67" s="591">
        <v>416.66666666666669</v>
      </c>
      <c r="O67" s="591">
        <v>416.66666666666669</v>
      </c>
      <c r="P67" s="591">
        <v>416.66666666666669</v>
      </c>
      <c r="Q67" s="591">
        <v>416.66666666666669</v>
      </c>
      <c r="R67" s="591">
        <v>416.66666666666669</v>
      </c>
      <c r="S67" s="591">
        <v>416.66666666666669</v>
      </c>
      <c r="T67" s="591">
        <v>416.66666666666669</v>
      </c>
      <c r="U67" s="591">
        <v>416.66666666666669</v>
      </c>
      <c r="V67" s="591">
        <v>416.66666666666669</v>
      </c>
      <c r="W67" s="591">
        <v>416.66666666666669</v>
      </c>
      <c r="X67" s="598">
        <v>416.66666666666669</v>
      </c>
      <c r="Y67" s="850">
        <v>416.66666666666669</v>
      </c>
      <c r="Z67" s="591">
        <v>416.66666666666669</v>
      </c>
      <c r="AA67" s="591">
        <v>416.66666666666669</v>
      </c>
      <c r="AB67" s="591">
        <v>416.66666666666669</v>
      </c>
      <c r="AC67" s="591">
        <v>416.66666666666669</v>
      </c>
      <c r="AD67" s="591">
        <v>416.66666666666669</v>
      </c>
      <c r="AE67" s="591">
        <v>416.66666666666669</v>
      </c>
      <c r="AF67" s="591">
        <v>416.66666666666669</v>
      </c>
      <c r="AG67" s="591">
        <v>416.66666666666669</v>
      </c>
      <c r="AH67" s="591">
        <v>416.66666666666669</v>
      </c>
      <c r="AI67" s="591">
        <v>416.66666666666669</v>
      </c>
      <c r="AJ67" s="591">
        <v>416.66666666666669</v>
      </c>
      <c r="AK67" s="860" t="str">
        <f t="shared" si="23"/>
        <v>Si</v>
      </c>
      <c r="AL67" s="862">
        <f t="shared" si="24"/>
        <v>10000</v>
      </c>
    </row>
    <row r="68" spans="2:38" ht="15" thickBot="1" x14ac:dyDescent="0.35">
      <c r="B68" s="398" t="s">
        <v>57</v>
      </c>
      <c r="C68" s="401" t="s">
        <v>112</v>
      </c>
      <c r="D68" s="401"/>
      <c r="E68" s="401"/>
      <c r="F68" s="401" t="s">
        <v>1518</v>
      </c>
      <c r="G68" s="401"/>
      <c r="H68" s="360" t="s">
        <v>113</v>
      </c>
      <c r="I68" s="410">
        <v>6500</v>
      </c>
      <c r="J68" s="410">
        <v>6500</v>
      </c>
      <c r="K68" s="401" t="s">
        <v>63</v>
      </c>
      <c r="L68" s="412" t="s">
        <v>63</v>
      </c>
      <c r="M68" s="711"/>
      <c r="N68" s="591">
        <v>270.83333333333297</v>
      </c>
      <c r="O68" s="591">
        <v>270.83333333333331</v>
      </c>
      <c r="P68" s="591">
        <v>270.83333333333331</v>
      </c>
      <c r="Q68" s="591">
        <v>270.83333333333331</v>
      </c>
      <c r="R68" s="591">
        <v>270.83333333333331</v>
      </c>
      <c r="S68" s="591">
        <v>270.83333333333331</v>
      </c>
      <c r="T68" s="591">
        <v>270.83333333333331</v>
      </c>
      <c r="U68" s="591">
        <v>270.83333333333331</v>
      </c>
      <c r="V68" s="591">
        <v>270.83333333333331</v>
      </c>
      <c r="W68" s="591">
        <v>270.83333333333331</v>
      </c>
      <c r="X68" s="598">
        <v>270.83333333333331</v>
      </c>
      <c r="Y68" s="850">
        <v>270.83333333333331</v>
      </c>
      <c r="Z68" s="591">
        <v>270.83333333333331</v>
      </c>
      <c r="AA68" s="591">
        <v>270.83333333333331</v>
      </c>
      <c r="AB68" s="591">
        <v>270.83333333333331</v>
      </c>
      <c r="AC68" s="591">
        <v>270.83333333333331</v>
      </c>
      <c r="AD68" s="591">
        <v>270.83333333333331</v>
      </c>
      <c r="AE68" s="591">
        <v>270.83333333333331</v>
      </c>
      <c r="AF68" s="591">
        <v>270.83333333333331</v>
      </c>
      <c r="AG68" s="591">
        <v>270.83333333333331</v>
      </c>
      <c r="AH68" s="591">
        <v>270.83333333333331</v>
      </c>
      <c r="AI68" s="591">
        <v>270.83333333333331</v>
      </c>
      <c r="AJ68" s="850">
        <v>541.66666666666595</v>
      </c>
      <c r="AK68" s="860" t="str">
        <f t="shared" si="23"/>
        <v>Si</v>
      </c>
      <c r="AL68" s="862">
        <f t="shared" si="24"/>
        <v>6499.9999999999982</v>
      </c>
    </row>
    <row r="69" spans="2:38" ht="15" thickBot="1" x14ac:dyDescent="0.35">
      <c r="B69" s="21"/>
      <c r="C69" s="21"/>
      <c r="D69" s="21"/>
      <c r="E69" s="21"/>
      <c r="F69" s="21"/>
      <c r="G69" s="21"/>
      <c r="H69" s="462" t="s">
        <v>26</v>
      </c>
      <c r="I69" s="463">
        <f>SUM(I40:I68)</f>
        <v>1529430.0299999998</v>
      </c>
      <c r="J69" s="463">
        <f>SUM(J40:J68)</f>
        <v>1386303.9716537187</v>
      </c>
      <c r="K69" s="465"/>
      <c r="M69" s="739">
        <f>+SUM(M40:M68)</f>
        <v>49224.347568904959</v>
      </c>
      <c r="N69" s="738">
        <f>+SUM(N40:N68)</f>
        <v>65126.58256890496</v>
      </c>
      <c r="O69" s="738">
        <f t="shared" ref="O69:X69" si="25">+SUM(O40:O68)</f>
        <v>96581.572568904972</v>
      </c>
      <c r="P69" s="738">
        <f t="shared" si="25"/>
        <v>64626.58256890496</v>
      </c>
      <c r="Q69" s="738">
        <f t="shared" si="25"/>
        <v>64626.58256890496</v>
      </c>
      <c r="R69" s="738">
        <f t="shared" si="25"/>
        <v>59626.58256890496</v>
      </c>
      <c r="S69" s="738">
        <f t="shared" si="25"/>
        <v>57126.58256890496</v>
      </c>
      <c r="T69" s="738">
        <f t="shared" si="25"/>
        <v>57126.58256890496</v>
      </c>
      <c r="U69" s="738">
        <f t="shared" si="25"/>
        <v>57126.58256890496</v>
      </c>
      <c r="V69" s="738">
        <f t="shared" si="25"/>
        <v>58126.58256890496</v>
      </c>
      <c r="W69" s="738">
        <f t="shared" si="25"/>
        <v>57126.58256890496</v>
      </c>
      <c r="X69" s="853">
        <f t="shared" si="25"/>
        <v>57126.58256890496</v>
      </c>
      <c r="Y69" s="843">
        <f>+SUM(Y40:Y68)</f>
        <v>57126.58256890496</v>
      </c>
      <c r="Z69" s="738">
        <f t="shared" ref="Z69:AJ69" si="26">+SUM(Z40:Z68)</f>
        <v>57126.58256890496</v>
      </c>
      <c r="AA69" s="738">
        <f t="shared" si="26"/>
        <v>58126.58256890496</v>
      </c>
      <c r="AB69" s="738">
        <f t="shared" si="26"/>
        <v>57126.58256890496</v>
      </c>
      <c r="AC69" s="738">
        <f t="shared" si="26"/>
        <v>57126.58256890496</v>
      </c>
      <c r="AD69" s="738">
        <f t="shared" si="26"/>
        <v>52727.95756890496</v>
      </c>
      <c r="AE69" s="738">
        <f t="shared" si="26"/>
        <v>50227.95756890496</v>
      </c>
      <c r="AF69" s="738">
        <f t="shared" si="26"/>
        <v>50227.95756890496</v>
      </c>
      <c r="AG69" s="738">
        <f t="shared" si="26"/>
        <v>50227.95756890496</v>
      </c>
      <c r="AH69" s="738">
        <f t="shared" si="26"/>
        <v>51227.95756890496</v>
      </c>
      <c r="AI69" s="738">
        <f t="shared" si="26"/>
        <v>50227.95756890496</v>
      </c>
      <c r="AJ69" s="844">
        <f t="shared" si="26"/>
        <v>51231.56756890496</v>
      </c>
    </row>
    <row r="70" spans="2:38" ht="15" thickBot="1" x14ac:dyDescent="0.35">
      <c r="M70" s="971">
        <f>+SUM(M69:X69)</f>
        <v>743571.74582685961</v>
      </c>
      <c r="N70" s="972"/>
      <c r="O70" s="972"/>
      <c r="P70" s="972"/>
      <c r="Q70" s="972"/>
      <c r="R70" s="972"/>
      <c r="S70" s="972"/>
      <c r="T70" s="972"/>
      <c r="U70" s="972"/>
      <c r="V70" s="972"/>
      <c r="W70" s="972"/>
      <c r="X70" s="973"/>
      <c r="Y70" s="971">
        <f>+SUM(Y69:AJ69)</f>
        <v>642732.22582685947</v>
      </c>
      <c r="Z70" s="972"/>
      <c r="AA70" s="972"/>
      <c r="AB70" s="972"/>
      <c r="AC70" s="972"/>
      <c r="AD70" s="972"/>
      <c r="AE70" s="972"/>
      <c r="AF70" s="972"/>
      <c r="AG70" s="972"/>
      <c r="AH70" s="972"/>
      <c r="AI70" s="972"/>
      <c r="AJ70" s="973"/>
      <c r="AK70" s="860" t="str">
        <f>IF(SUM(M70:AJ70)=J69,"Si","No")</f>
        <v>Si</v>
      </c>
      <c r="AL70" s="862">
        <f t="shared" ref="AL70" si="27">+SUM(M70:AJ70)</f>
        <v>1386303.971653719</v>
      </c>
    </row>
    <row r="71" spans="2:38" ht="34.950000000000003" customHeight="1" x14ac:dyDescent="0.3">
      <c r="B71" s="416" t="s">
        <v>0</v>
      </c>
      <c r="C71" s="417" t="s">
        <v>6</v>
      </c>
      <c r="D71" s="417" t="s">
        <v>1478</v>
      </c>
      <c r="E71" s="417" t="s">
        <v>1186</v>
      </c>
      <c r="F71" s="417" t="s">
        <v>1517</v>
      </c>
      <c r="G71" s="417"/>
      <c r="H71" s="417" t="s">
        <v>7</v>
      </c>
      <c r="I71" s="417" t="s">
        <v>8</v>
      </c>
      <c r="J71" s="417" t="s">
        <v>1381</v>
      </c>
      <c r="K71" s="417" t="s">
        <v>9</v>
      </c>
      <c r="L71" s="418" t="s">
        <v>10</v>
      </c>
      <c r="M71" s="946"/>
      <c r="N71" s="947"/>
      <c r="O71" s="947"/>
      <c r="P71" s="947"/>
      <c r="Q71" s="947"/>
      <c r="R71" s="947"/>
      <c r="S71" s="947"/>
      <c r="T71" s="947"/>
      <c r="U71" s="947"/>
      <c r="V71" s="947"/>
      <c r="W71" s="947"/>
      <c r="X71" s="948"/>
      <c r="Y71" s="946"/>
      <c r="Z71" s="947"/>
      <c r="AA71" s="947"/>
      <c r="AB71" s="947"/>
      <c r="AC71" s="947"/>
      <c r="AD71" s="947"/>
      <c r="AE71" s="947"/>
      <c r="AF71" s="947"/>
      <c r="AG71" s="947"/>
      <c r="AH71" s="947"/>
      <c r="AI71" s="947"/>
      <c r="AJ71" s="948"/>
    </row>
    <row r="72" spans="2:38" x14ac:dyDescent="0.3">
      <c r="B72" s="407" t="s">
        <v>116</v>
      </c>
      <c r="C72" s="435" t="s">
        <v>118</v>
      </c>
      <c r="D72" s="435"/>
      <c r="E72" s="435"/>
      <c r="F72" s="924" t="s">
        <v>1515</v>
      </c>
      <c r="G72" s="924"/>
      <c r="H72" s="405" t="s">
        <v>119</v>
      </c>
      <c r="I72" s="388">
        <v>10000</v>
      </c>
      <c r="J72" s="388">
        <v>10000</v>
      </c>
      <c r="K72" s="436">
        <v>46139</v>
      </c>
      <c r="L72" s="421">
        <v>46319</v>
      </c>
      <c r="M72" s="723"/>
      <c r="N72" s="146"/>
      <c r="O72" s="146"/>
      <c r="P72" s="591">
        <v>1428.5714285714287</v>
      </c>
      <c r="Q72" s="591">
        <v>1428.5714285714287</v>
      </c>
      <c r="R72" s="591">
        <v>1428.5714285714287</v>
      </c>
      <c r="S72" s="591">
        <v>1428.5714285714287</v>
      </c>
      <c r="T72" s="591">
        <v>1428.5714285714287</v>
      </c>
      <c r="U72" s="591">
        <v>1428.5714285714287</v>
      </c>
      <c r="V72" s="591">
        <v>1428.5714285714287</v>
      </c>
      <c r="W72" s="146"/>
      <c r="X72" s="724"/>
      <c r="Y72" s="849"/>
      <c r="Z72" s="146"/>
      <c r="AA72" s="146"/>
      <c r="AB72" s="146"/>
      <c r="AC72" s="146"/>
      <c r="AD72" s="146"/>
      <c r="AE72" s="146"/>
      <c r="AF72" s="146"/>
      <c r="AG72" s="146"/>
      <c r="AH72" s="146"/>
      <c r="AI72" s="146"/>
      <c r="AJ72" s="724"/>
      <c r="AK72" s="860" t="str">
        <f t="shared" ref="AK72:AK82" si="28">IF(SUM(M72:AJ72)=J72,"Si","No")</f>
        <v>Si</v>
      </c>
      <c r="AL72" s="862">
        <f t="shared" ref="AL72:AL82" si="29">+SUM(M72:AJ72)</f>
        <v>10000.000000000002</v>
      </c>
    </row>
    <row r="73" spans="2:38" ht="28.8" x14ac:dyDescent="0.3">
      <c r="B73" s="407" t="s">
        <v>116</v>
      </c>
      <c r="C73" s="435" t="s">
        <v>118</v>
      </c>
      <c r="D73" s="435"/>
      <c r="E73" s="435"/>
      <c r="F73" s="924" t="s">
        <v>1515</v>
      </c>
      <c r="G73" s="924"/>
      <c r="H73" s="405" t="s">
        <v>120</v>
      </c>
      <c r="I73" s="388">
        <v>12000</v>
      </c>
      <c r="J73" s="388">
        <v>12000</v>
      </c>
      <c r="K73" s="436">
        <v>46242</v>
      </c>
      <c r="L73" s="421">
        <v>46422</v>
      </c>
      <c r="M73" s="723"/>
      <c r="N73" s="146"/>
      <c r="O73" s="146"/>
      <c r="P73" s="146"/>
      <c r="Q73" s="146"/>
      <c r="R73" s="146"/>
      <c r="S73" s="146"/>
      <c r="T73" s="591">
        <v>2400</v>
      </c>
      <c r="U73" s="591">
        <v>0</v>
      </c>
      <c r="V73" s="591">
        <v>0</v>
      </c>
      <c r="W73" s="591">
        <v>4800</v>
      </c>
      <c r="X73" s="598">
        <v>0</v>
      </c>
      <c r="Y73" s="850">
        <v>0</v>
      </c>
      <c r="Z73" s="591">
        <v>4800</v>
      </c>
      <c r="AA73" s="146"/>
      <c r="AB73" s="146"/>
      <c r="AC73" s="146"/>
      <c r="AD73" s="146"/>
      <c r="AE73" s="146"/>
      <c r="AF73" s="146"/>
      <c r="AG73" s="146"/>
      <c r="AH73" s="146"/>
      <c r="AI73" s="146"/>
      <c r="AJ73" s="724"/>
      <c r="AK73" s="860" t="str">
        <f t="shared" si="28"/>
        <v>Si</v>
      </c>
      <c r="AL73" s="862">
        <f t="shared" si="29"/>
        <v>12000</v>
      </c>
    </row>
    <row r="74" spans="2:38" ht="28.8" x14ac:dyDescent="0.3">
      <c r="B74" s="407" t="s">
        <v>116</v>
      </c>
      <c r="C74" s="435" t="s">
        <v>121</v>
      </c>
      <c r="D74" s="435"/>
      <c r="E74" s="435"/>
      <c r="F74" s="925" t="s">
        <v>1516</v>
      </c>
      <c r="G74" s="925"/>
      <c r="H74" s="405" t="s">
        <v>122</v>
      </c>
      <c r="I74" s="388">
        <v>30000</v>
      </c>
      <c r="J74" s="388">
        <v>30000</v>
      </c>
      <c r="K74" s="436">
        <v>46148</v>
      </c>
      <c r="L74" s="421">
        <v>46446</v>
      </c>
      <c r="M74" s="723"/>
      <c r="N74" s="146"/>
      <c r="O74" s="710"/>
      <c r="P74" s="710"/>
      <c r="Q74" s="710"/>
      <c r="R74" s="710"/>
      <c r="S74" s="710"/>
      <c r="T74" s="710"/>
      <c r="U74" s="710"/>
      <c r="V74" s="710"/>
      <c r="W74" s="710"/>
      <c r="X74" s="712"/>
      <c r="Y74" s="850">
        <v>3000</v>
      </c>
      <c r="Z74" s="591">
        <v>3000</v>
      </c>
      <c r="AA74" s="591">
        <v>3000</v>
      </c>
      <c r="AB74" s="591">
        <v>3000</v>
      </c>
      <c r="AC74" s="591">
        <v>3000</v>
      </c>
      <c r="AD74" s="591">
        <v>3000</v>
      </c>
      <c r="AE74" s="591">
        <v>3000</v>
      </c>
      <c r="AF74" s="591">
        <v>3000</v>
      </c>
      <c r="AG74" s="591">
        <v>3000</v>
      </c>
      <c r="AH74" s="591">
        <v>3000</v>
      </c>
      <c r="AI74" s="146"/>
      <c r="AJ74" s="724"/>
      <c r="AK74" s="860" t="str">
        <f t="shared" si="28"/>
        <v>Si</v>
      </c>
      <c r="AL74" s="862">
        <f t="shared" si="29"/>
        <v>30000</v>
      </c>
    </row>
    <row r="75" spans="2:38" ht="28.8" x14ac:dyDescent="0.3">
      <c r="B75" s="407" t="s">
        <v>116</v>
      </c>
      <c r="C75" s="435" t="s">
        <v>121</v>
      </c>
      <c r="D75" s="435"/>
      <c r="E75" s="435"/>
      <c r="F75" s="925" t="s">
        <v>1516</v>
      </c>
      <c r="G75" s="925"/>
      <c r="H75" s="405" t="s">
        <v>123</v>
      </c>
      <c r="I75" s="413">
        <v>20000</v>
      </c>
      <c r="J75" s="413">
        <v>20000</v>
      </c>
      <c r="K75" s="436">
        <v>46197</v>
      </c>
      <c r="L75" s="421">
        <v>46377</v>
      </c>
      <c r="M75" s="723"/>
      <c r="N75" s="146"/>
      <c r="O75" s="146"/>
      <c r="P75" s="146"/>
      <c r="Q75" s="591">
        <v>4000</v>
      </c>
      <c r="R75" s="591">
        <v>0</v>
      </c>
      <c r="S75" s="591">
        <v>0</v>
      </c>
      <c r="T75" s="591">
        <v>10000</v>
      </c>
      <c r="U75" s="591">
        <v>0</v>
      </c>
      <c r="V75" s="591">
        <v>0</v>
      </c>
      <c r="W75" s="591">
        <v>6000</v>
      </c>
      <c r="X75" s="724"/>
      <c r="Y75" s="847"/>
      <c r="Z75" s="710"/>
      <c r="AA75" s="710"/>
      <c r="AB75" s="710"/>
      <c r="AC75" s="710"/>
      <c r="AD75" s="710"/>
      <c r="AE75" s="710"/>
      <c r="AF75" s="710"/>
      <c r="AG75" s="146"/>
      <c r="AH75" s="146"/>
      <c r="AI75" s="146"/>
      <c r="AJ75" s="724"/>
      <c r="AK75" s="860" t="str">
        <f t="shared" si="28"/>
        <v>Si</v>
      </c>
      <c r="AL75" s="862">
        <f t="shared" si="29"/>
        <v>20000</v>
      </c>
    </row>
    <row r="76" spans="2:38" x14ac:dyDescent="0.3">
      <c r="B76" s="407" t="s">
        <v>116</v>
      </c>
      <c r="C76" s="435" t="s">
        <v>118</v>
      </c>
      <c r="D76" s="435"/>
      <c r="E76" s="435"/>
      <c r="F76" s="925" t="s">
        <v>1516</v>
      </c>
      <c r="G76" s="925"/>
      <c r="H76" s="405" t="s">
        <v>124</v>
      </c>
      <c r="I76" s="413">
        <v>19500</v>
      </c>
      <c r="J76" s="413">
        <v>19500</v>
      </c>
      <c r="K76" s="436">
        <v>46137</v>
      </c>
      <c r="L76" s="421">
        <v>46317</v>
      </c>
      <c r="M76" s="723"/>
      <c r="N76" s="146"/>
      <c r="O76" s="146"/>
      <c r="P76" s="591">
        <v>2785.7142857142858</v>
      </c>
      <c r="Q76" s="591">
        <v>2785.7142857142858</v>
      </c>
      <c r="R76" s="591">
        <v>2785.7142857142858</v>
      </c>
      <c r="S76" s="591">
        <v>2785.7142857142858</v>
      </c>
      <c r="T76" s="591">
        <v>2785.7142857142858</v>
      </c>
      <c r="U76" s="591">
        <v>2785.7142857142858</v>
      </c>
      <c r="V76" s="591">
        <v>2785.7142857142858</v>
      </c>
      <c r="W76" s="146"/>
      <c r="X76" s="724"/>
      <c r="Y76" s="847"/>
      <c r="Z76" s="710"/>
      <c r="AA76" s="710"/>
      <c r="AB76" s="710"/>
      <c r="AC76" s="710"/>
      <c r="AD76" s="710"/>
      <c r="AE76" s="710"/>
      <c r="AF76" s="710"/>
      <c r="AG76" s="146"/>
      <c r="AH76" s="146"/>
      <c r="AI76" s="146"/>
      <c r="AJ76" s="724"/>
      <c r="AK76" s="860" t="str">
        <f t="shared" si="28"/>
        <v>Si</v>
      </c>
      <c r="AL76" s="862">
        <f t="shared" si="29"/>
        <v>19500</v>
      </c>
    </row>
    <row r="77" spans="2:38" ht="28.8" x14ac:dyDescent="0.3">
      <c r="B77" s="407" t="s">
        <v>116</v>
      </c>
      <c r="C77" s="435" t="s">
        <v>125</v>
      </c>
      <c r="D77" s="435"/>
      <c r="E77" s="435"/>
      <c r="F77" s="925" t="s">
        <v>1516</v>
      </c>
      <c r="G77" s="925"/>
      <c r="H77" s="405" t="s">
        <v>126</v>
      </c>
      <c r="I77" s="414">
        <v>15000</v>
      </c>
      <c r="J77" s="414">
        <v>15000</v>
      </c>
      <c r="K77" s="436">
        <v>46116</v>
      </c>
      <c r="L77" s="421">
        <v>46296</v>
      </c>
      <c r="M77" s="723"/>
      <c r="N77" s="146"/>
      <c r="O77" s="146"/>
      <c r="P77" s="146"/>
      <c r="Q77" s="146"/>
      <c r="R77" s="146"/>
      <c r="S77" s="146"/>
      <c r="T77" s="146"/>
      <c r="U77" s="146"/>
      <c r="V77" s="146"/>
      <c r="W77" s="146"/>
      <c r="X77" s="724"/>
      <c r="Y77" s="591">
        <v>2142.8571428571427</v>
      </c>
      <c r="Z77" s="591">
        <v>2142.8571428571427</v>
      </c>
      <c r="AA77" s="591">
        <v>2142.8571428571427</v>
      </c>
      <c r="AB77" s="591">
        <v>2142.8571428571427</v>
      </c>
      <c r="AC77" s="591">
        <v>2142.8571428571427</v>
      </c>
      <c r="AD77" s="591">
        <v>2142.8571428571427</v>
      </c>
      <c r="AE77" s="591">
        <v>2142.8571428571427</v>
      </c>
      <c r="AF77" s="710"/>
      <c r="AG77" s="146"/>
      <c r="AH77" s="146"/>
      <c r="AI77" s="146"/>
      <c r="AJ77" s="724"/>
      <c r="AK77" s="860" t="str">
        <f t="shared" si="28"/>
        <v>Si</v>
      </c>
      <c r="AL77" s="862">
        <f t="shared" si="29"/>
        <v>15000</v>
      </c>
    </row>
    <row r="78" spans="2:38" ht="28.8" x14ac:dyDescent="0.3">
      <c r="B78" s="407" t="s">
        <v>116</v>
      </c>
      <c r="C78" s="435" t="s">
        <v>118</v>
      </c>
      <c r="D78" s="435"/>
      <c r="E78" s="435"/>
      <c r="F78" s="925" t="s">
        <v>1516</v>
      </c>
      <c r="G78" s="925"/>
      <c r="H78" s="405" t="s">
        <v>127</v>
      </c>
      <c r="I78" s="414">
        <v>22000</v>
      </c>
      <c r="J78" s="414">
        <v>22000</v>
      </c>
      <c r="K78" s="436">
        <v>46108</v>
      </c>
      <c r="L78" s="421">
        <v>46358</v>
      </c>
      <c r="M78" s="723"/>
      <c r="N78" s="146"/>
      <c r="O78" s="146"/>
      <c r="P78" s="591">
        <v>2000</v>
      </c>
      <c r="Q78" s="591">
        <v>2000</v>
      </c>
      <c r="R78" s="591">
        <v>2000</v>
      </c>
      <c r="S78" s="591">
        <v>2000</v>
      </c>
      <c r="T78" s="591">
        <v>2000</v>
      </c>
      <c r="U78" s="591">
        <v>2000</v>
      </c>
      <c r="V78" s="591">
        <v>2000</v>
      </c>
      <c r="W78" s="591">
        <v>2000</v>
      </c>
      <c r="X78" s="591">
        <v>2000</v>
      </c>
      <c r="Y78" s="591">
        <v>2000</v>
      </c>
      <c r="Z78" s="591">
        <v>2000</v>
      </c>
      <c r="AA78" s="863"/>
      <c r="AB78" s="710"/>
      <c r="AC78" s="710"/>
      <c r="AD78" s="710"/>
      <c r="AE78" s="710"/>
      <c r="AF78" s="710"/>
      <c r="AG78" s="710"/>
      <c r="AH78" s="710"/>
      <c r="AI78" s="146"/>
      <c r="AJ78" s="724"/>
      <c r="AK78" s="860" t="str">
        <f t="shared" si="28"/>
        <v>Si</v>
      </c>
      <c r="AL78" s="862">
        <f t="shared" si="29"/>
        <v>22000</v>
      </c>
    </row>
    <row r="79" spans="2:38" x14ac:dyDescent="0.3">
      <c r="B79" s="407" t="s">
        <v>116</v>
      </c>
      <c r="C79" s="435" t="s">
        <v>128</v>
      </c>
      <c r="D79" s="435"/>
      <c r="E79" s="435"/>
      <c r="F79" s="925" t="s">
        <v>1516</v>
      </c>
      <c r="G79" s="925"/>
      <c r="H79" s="405" t="s">
        <v>129</v>
      </c>
      <c r="I79" s="414">
        <v>22000</v>
      </c>
      <c r="J79" s="414">
        <v>22000</v>
      </c>
      <c r="K79" s="436">
        <v>46120</v>
      </c>
      <c r="L79" s="421">
        <v>46300</v>
      </c>
      <c r="M79" s="723"/>
      <c r="N79" s="146"/>
      <c r="O79" s="591">
        <v>2200</v>
      </c>
      <c r="P79" s="591">
        <v>2200</v>
      </c>
      <c r="Q79" s="591">
        <v>2200</v>
      </c>
      <c r="R79" s="591">
        <v>2200</v>
      </c>
      <c r="S79" s="591">
        <v>2200</v>
      </c>
      <c r="T79" s="591">
        <v>2200</v>
      </c>
      <c r="U79" s="591">
        <v>2200</v>
      </c>
      <c r="V79" s="591">
        <v>2200</v>
      </c>
      <c r="W79" s="591">
        <v>2200</v>
      </c>
      <c r="X79" s="598">
        <v>2200</v>
      </c>
      <c r="Y79" s="849"/>
      <c r="Z79" s="865"/>
      <c r="AA79" s="865"/>
      <c r="AB79" s="865"/>
      <c r="AC79" s="865"/>
      <c r="AD79" s="865"/>
      <c r="AE79" s="865"/>
      <c r="AF79" s="865"/>
      <c r="AG79" s="146"/>
      <c r="AH79" s="146"/>
      <c r="AI79" s="146"/>
      <c r="AJ79" s="724"/>
      <c r="AK79" s="860" t="str">
        <f t="shared" si="28"/>
        <v>Si</v>
      </c>
      <c r="AL79" s="862">
        <f t="shared" si="29"/>
        <v>22000</v>
      </c>
    </row>
    <row r="80" spans="2:38" x14ac:dyDescent="0.3">
      <c r="B80" s="407" t="s">
        <v>116</v>
      </c>
      <c r="C80" s="435" t="s">
        <v>130</v>
      </c>
      <c r="D80" s="435"/>
      <c r="E80" s="435"/>
      <c r="F80" s="925" t="s">
        <v>1516</v>
      </c>
      <c r="G80" s="925"/>
      <c r="H80" s="405" t="s">
        <v>131</v>
      </c>
      <c r="I80" s="414">
        <v>16000</v>
      </c>
      <c r="J80" s="414">
        <v>16000</v>
      </c>
      <c r="K80" s="436">
        <v>46095</v>
      </c>
      <c r="L80" s="421">
        <v>46275</v>
      </c>
      <c r="M80" s="723"/>
      <c r="N80" s="146"/>
      <c r="O80" s="146"/>
      <c r="P80" s="146"/>
      <c r="Q80" s="146"/>
      <c r="R80" s="146"/>
      <c r="S80" s="146"/>
      <c r="T80" s="146"/>
      <c r="U80" s="146"/>
      <c r="V80" s="146"/>
      <c r="W80" s="146"/>
      <c r="X80" s="724"/>
      <c r="Y80" s="850">
        <v>2285.7142857142858</v>
      </c>
      <c r="Z80" s="591">
        <v>2285.7142857142858</v>
      </c>
      <c r="AA80" s="591">
        <v>2285.7142857142858</v>
      </c>
      <c r="AB80" s="591">
        <v>2285.7142857142858</v>
      </c>
      <c r="AC80" s="591">
        <v>2285.7142857142858</v>
      </c>
      <c r="AD80" s="591">
        <v>2285.7142857142858</v>
      </c>
      <c r="AE80" s="591">
        <v>2285.7142857142858</v>
      </c>
      <c r="AF80" s="146"/>
      <c r="AG80" s="146"/>
      <c r="AH80" s="146"/>
      <c r="AI80" s="146"/>
      <c r="AJ80" s="724"/>
      <c r="AK80" s="860" t="str">
        <f t="shared" si="28"/>
        <v>Si</v>
      </c>
      <c r="AL80" s="862">
        <f t="shared" si="29"/>
        <v>16000.000000000002</v>
      </c>
    </row>
    <row r="81" spans="2:38" x14ac:dyDescent="0.3">
      <c r="B81" s="407" t="s">
        <v>116</v>
      </c>
      <c r="C81" s="435" t="s">
        <v>118</v>
      </c>
      <c r="D81" s="435"/>
      <c r="E81" s="435"/>
      <c r="F81" s="925" t="s">
        <v>1516</v>
      </c>
      <c r="G81" s="925"/>
      <c r="H81" s="405" t="s">
        <v>132</v>
      </c>
      <c r="I81" s="414">
        <v>10000</v>
      </c>
      <c r="J81" s="414">
        <v>10000</v>
      </c>
      <c r="K81" s="436">
        <v>46127</v>
      </c>
      <c r="L81" s="421">
        <v>46366</v>
      </c>
      <c r="M81" s="723"/>
      <c r="N81" s="146"/>
      <c r="O81" s="591">
        <v>2000</v>
      </c>
      <c r="P81" s="591">
        <v>0</v>
      </c>
      <c r="Q81" s="591">
        <v>0</v>
      </c>
      <c r="R81" s="591">
        <v>5000</v>
      </c>
      <c r="S81" s="591">
        <v>0</v>
      </c>
      <c r="T81" s="591">
        <v>3000</v>
      </c>
      <c r="U81" s="146"/>
      <c r="V81" s="146"/>
      <c r="W81" s="146"/>
      <c r="X81" s="724"/>
      <c r="Y81" s="849"/>
      <c r="Z81" s="710"/>
      <c r="AA81" s="710"/>
      <c r="AB81" s="710"/>
      <c r="AC81" s="710"/>
      <c r="AD81" s="710"/>
      <c r="AE81" s="710"/>
      <c r="AF81" s="710"/>
      <c r="AG81" s="710"/>
      <c r="AH81" s="710"/>
      <c r="AI81" s="146"/>
      <c r="AJ81" s="724"/>
      <c r="AK81" s="860" t="str">
        <f t="shared" si="28"/>
        <v>Si</v>
      </c>
      <c r="AL81" s="862">
        <f t="shared" si="29"/>
        <v>10000</v>
      </c>
    </row>
    <row r="82" spans="2:38" ht="15" thickBot="1" x14ac:dyDescent="0.35">
      <c r="B82" s="426" t="s">
        <v>116</v>
      </c>
      <c r="C82" s="429" t="s">
        <v>118</v>
      </c>
      <c r="D82" s="429"/>
      <c r="E82" s="429"/>
      <c r="F82" s="928" t="s">
        <v>1516</v>
      </c>
      <c r="G82" s="928"/>
      <c r="H82" s="427" t="s">
        <v>133</v>
      </c>
      <c r="I82" s="428">
        <v>6000</v>
      </c>
      <c r="J82" s="428">
        <v>6000</v>
      </c>
      <c r="K82" s="447">
        <v>46134</v>
      </c>
      <c r="L82" s="402">
        <v>46314</v>
      </c>
      <c r="M82" s="723"/>
      <c r="N82" s="146"/>
      <c r="O82" s="146"/>
      <c r="P82" s="146"/>
      <c r="Q82" s="146"/>
      <c r="R82" s="146"/>
      <c r="S82" s="146"/>
      <c r="T82" s="146"/>
      <c r="U82" s="146"/>
      <c r="V82" s="146"/>
      <c r="W82" s="146"/>
      <c r="X82" s="724"/>
      <c r="Y82" s="849"/>
      <c r="Z82" s="591">
        <v>857.14285714285711</v>
      </c>
      <c r="AA82" s="591">
        <v>857.14285714285711</v>
      </c>
      <c r="AB82" s="591">
        <v>857.14285714285711</v>
      </c>
      <c r="AC82" s="591">
        <v>857.14285714285711</v>
      </c>
      <c r="AD82" s="591">
        <v>857.14285714285711</v>
      </c>
      <c r="AE82" s="591">
        <v>857.14285714285711</v>
      </c>
      <c r="AF82" s="591">
        <v>857.14285714285711</v>
      </c>
      <c r="AG82" s="146"/>
      <c r="AH82" s="146"/>
      <c r="AI82" s="146"/>
      <c r="AJ82" s="724"/>
      <c r="AK82" s="860" t="str">
        <f t="shared" si="28"/>
        <v>Si</v>
      </c>
      <c r="AL82" s="862">
        <f t="shared" si="29"/>
        <v>5999.9999999999991</v>
      </c>
    </row>
    <row r="83" spans="2:38" ht="15" thickBot="1" x14ac:dyDescent="0.35">
      <c r="B83" s="460"/>
      <c r="C83" s="460"/>
      <c r="D83" s="460"/>
      <c r="E83" s="460"/>
      <c r="F83" s="460"/>
      <c r="G83" s="460"/>
      <c r="H83" s="462" t="s">
        <v>26</v>
      </c>
      <c r="I83" s="463">
        <f>SUM(I72:I82)</f>
        <v>182500</v>
      </c>
      <c r="J83" s="463">
        <f>SUM(J72:J82)</f>
        <v>182500</v>
      </c>
      <c r="K83" s="461"/>
      <c r="M83" s="739">
        <f>+SUM(M72:M82)</f>
        <v>0</v>
      </c>
      <c r="N83" s="738">
        <f t="shared" ref="N83:X83" si="30">+SUM(N72:N82)</f>
        <v>0</v>
      </c>
      <c r="O83" s="738">
        <f t="shared" si="30"/>
        <v>4200</v>
      </c>
      <c r="P83" s="738">
        <f t="shared" si="30"/>
        <v>8414.2857142857138</v>
      </c>
      <c r="Q83" s="738">
        <f t="shared" si="30"/>
        <v>12414.285714285714</v>
      </c>
      <c r="R83" s="738">
        <f t="shared" si="30"/>
        <v>13414.285714285714</v>
      </c>
      <c r="S83" s="738">
        <f t="shared" si="30"/>
        <v>8414.2857142857138</v>
      </c>
      <c r="T83" s="738">
        <f t="shared" si="30"/>
        <v>23814.285714285714</v>
      </c>
      <c r="U83" s="738">
        <f t="shared" si="30"/>
        <v>8414.2857142857138</v>
      </c>
      <c r="V83" s="738">
        <f t="shared" si="30"/>
        <v>8414.2857142857138</v>
      </c>
      <c r="W83" s="738">
        <f t="shared" si="30"/>
        <v>15000</v>
      </c>
      <c r="X83" s="853">
        <f t="shared" si="30"/>
        <v>4200</v>
      </c>
      <c r="Y83" s="739">
        <f>+SUM(Y72:Y82)</f>
        <v>9428.5714285714294</v>
      </c>
      <c r="Z83" s="738">
        <f t="shared" ref="Z83:AJ83" si="31">+SUM(Z72:Z82)</f>
        <v>15085.714285714286</v>
      </c>
      <c r="AA83" s="738">
        <f t="shared" si="31"/>
        <v>8285.7142857142862</v>
      </c>
      <c r="AB83" s="738">
        <f t="shared" si="31"/>
        <v>8285.7142857142862</v>
      </c>
      <c r="AC83" s="738">
        <f t="shared" si="31"/>
        <v>8285.7142857142862</v>
      </c>
      <c r="AD83" s="738">
        <f t="shared" si="31"/>
        <v>8285.7142857142862</v>
      </c>
      <c r="AE83" s="738">
        <f t="shared" si="31"/>
        <v>8285.7142857142862</v>
      </c>
      <c r="AF83" s="738">
        <f t="shared" si="31"/>
        <v>3857.1428571428569</v>
      </c>
      <c r="AG83" s="738">
        <f t="shared" si="31"/>
        <v>3000</v>
      </c>
      <c r="AH83" s="738">
        <f t="shared" si="31"/>
        <v>3000</v>
      </c>
      <c r="AI83" s="738">
        <f t="shared" si="31"/>
        <v>0</v>
      </c>
      <c r="AJ83" s="853">
        <f t="shared" si="31"/>
        <v>0</v>
      </c>
    </row>
    <row r="84" spans="2:38" ht="15" thickBot="1" x14ac:dyDescent="0.35">
      <c r="M84" s="971">
        <f>+SUM(M83:X83)</f>
        <v>106699.99999999999</v>
      </c>
      <c r="N84" s="972"/>
      <c r="O84" s="972"/>
      <c r="P84" s="972"/>
      <c r="Q84" s="972"/>
      <c r="R84" s="972"/>
      <c r="S84" s="972"/>
      <c r="T84" s="972"/>
      <c r="U84" s="972"/>
      <c r="V84" s="972"/>
      <c r="W84" s="972"/>
      <c r="X84" s="973"/>
      <c r="Y84" s="971">
        <f>+SUM(Y83:AJ83)</f>
        <v>75800.000000000015</v>
      </c>
      <c r="Z84" s="972"/>
      <c r="AA84" s="972"/>
      <c r="AB84" s="972"/>
      <c r="AC84" s="972"/>
      <c r="AD84" s="972"/>
      <c r="AE84" s="972"/>
      <c r="AF84" s="972"/>
      <c r="AG84" s="972"/>
      <c r="AH84" s="972"/>
      <c r="AI84" s="972"/>
      <c r="AJ84" s="973"/>
      <c r="AK84" s="860" t="str">
        <f>IF(SUM(M84:AJ84)=J83,"Si","No")</f>
        <v>Si</v>
      </c>
      <c r="AL84" s="862">
        <f t="shared" ref="AL84" si="32">+SUM(M84:AJ84)</f>
        <v>182500</v>
      </c>
    </row>
    <row r="85" spans="2:38" ht="36" customHeight="1" x14ac:dyDescent="0.3">
      <c r="B85" s="416" t="s">
        <v>0</v>
      </c>
      <c r="C85" s="417" t="s">
        <v>6</v>
      </c>
      <c r="D85" s="417" t="s">
        <v>1478</v>
      </c>
      <c r="E85" s="417" t="s">
        <v>1186</v>
      </c>
      <c r="F85" s="417" t="s">
        <v>1517</v>
      </c>
      <c r="G85" s="417"/>
      <c r="H85" s="417" t="s">
        <v>7</v>
      </c>
      <c r="I85" s="417" t="s">
        <v>8</v>
      </c>
      <c r="J85" s="417" t="s">
        <v>1381</v>
      </c>
      <c r="K85" s="417" t="s">
        <v>9</v>
      </c>
      <c r="L85" s="418" t="s">
        <v>10</v>
      </c>
      <c r="M85" s="946"/>
      <c r="N85" s="947"/>
      <c r="O85" s="947"/>
      <c r="P85" s="947"/>
      <c r="Q85" s="947"/>
      <c r="R85" s="947"/>
      <c r="S85" s="947"/>
      <c r="T85" s="947"/>
      <c r="U85" s="947"/>
      <c r="V85" s="947"/>
      <c r="W85" s="947"/>
      <c r="X85" s="947"/>
      <c r="Y85" s="968"/>
      <c r="Z85" s="969"/>
      <c r="AA85" s="969"/>
      <c r="AB85" s="969"/>
      <c r="AC85" s="969"/>
      <c r="AD85" s="969"/>
      <c r="AE85" s="969"/>
      <c r="AF85" s="969"/>
      <c r="AG85" s="969"/>
      <c r="AH85" s="969"/>
      <c r="AI85" s="969"/>
      <c r="AJ85" s="970"/>
    </row>
    <row r="86" spans="2:38" ht="28.8" x14ac:dyDescent="0.3">
      <c r="B86" s="397" t="s">
        <v>148</v>
      </c>
      <c r="C86" s="435" t="s">
        <v>164</v>
      </c>
      <c r="D86" s="435"/>
      <c r="E86" s="435"/>
      <c r="F86" s="925" t="s">
        <v>1516</v>
      </c>
      <c r="G86" s="925"/>
      <c r="H86" s="737" t="s">
        <v>165</v>
      </c>
      <c r="I86" s="414">
        <v>330000</v>
      </c>
      <c r="J86" s="414">
        <v>200000</v>
      </c>
      <c r="K86" s="49">
        <v>46392</v>
      </c>
      <c r="L86" s="421">
        <v>46540</v>
      </c>
      <c r="M86" s="723"/>
      <c r="N86" s="146"/>
      <c r="O86" s="146"/>
      <c r="P86" s="146"/>
      <c r="Q86" s="146"/>
      <c r="R86" s="146"/>
      <c r="S86" s="146"/>
      <c r="T86" s="146"/>
      <c r="U86" s="146"/>
      <c r="V86" s="146"/>
      <c r="W86" s="146"/>
      <c r="X86" s="729"/>
      <c r="Y86" s="597">
        <v>28571.428571428572</v>
      </c>
      <c r="Z86" s="591">
        <v>28571.428571428572</v>
      </c>
      <c r="AA86" s="591">
        <v>28571.428571428572</v>
      </c>
      <c r="AB86" s="591">
        <v>28571.428571428572</v>
      </c>
      <c r="AC86" s="591">
        <v>28571.428571428572</v>
      </c>
      <c r="AD86" s="591">
        <v>28571.428571428572</v>
      </c>
      <c r="AE86" s="591">
        <v>28571.428571428572</v>
      </c>
      <c r="AF86" s="710"/>
      <c r="AG86" s="146"/>
      <c r="AH86" s="146"/>
      <c r="AI86" s="146"/>
      <c r="AJ86" s="724"/>
      <c r="AK86" s="860" t="str">
        <f t="shared" ref="AK86:AK105" si="33">IF(SUM(M86:AJ86)=J86,"Si","No")</f>
        <v>Si</v>
      </c>
      <c r="AL86" s="862">
        <f t="shared" ref="AL86:AL105" si="34">+SUM(M86:AJ86)</f>
        <v>200000.00000000003</v>
      </c>
    </row>
    <row r="87" spans="2:38" ht="43.2" x14ac:dyDescent="0.3">
      <c r="B87" s="397" t="s">
        <v>166</v>
      </c>
      <c r="C87" s="435" t="s">
        <v>167</v>
      </c>
      <c r="D87" s="435"/>
      <c r="E87" s="435"/>
      <c r="F87" s="924" t="s">
        <v>1515</v>
      </c>
      <c r="G87" s="924"/>
      <c r="H87" s="737" t="s">
        <v>168</v>
      </c>
      <c r="I87" s="414">
        <v>200000</v>
      </c>
      <c r="J87" s="414">
        <v>125000</v>
      </c>
      <c r="K87" s="36">
        <v>46115</v>
      </c>
      <c r="L87" s="421">
        <v>46326</v>
      </c>
      <c r="M87" s="723"/>
      <c r="N87" s="146"/>
      <c r="O87" s="146"/>
      <c r="P87" s="591">
        <v>25000</v>
      </c>
      <c r="Q87" s="591">
        <v>0</v>
      </c>
      <c r="R87" s="591">
        <v>37500</v>
      </c>
      <c r="S87" s="591">
        <v>0</v>
      </c>
      <c r="T87" s="591">
        <v>37500</v>
      </c>
      <c r="U87" s="591">
        <v>0</v>
      </c>
      <c r="V87" s="591">
        <v>25000</v>
      </c>
      <c r="W87" s="146"/>
      <c r="X87" s="729"/>
      <c r="Y87" s="723"/>
      <c r="Z87" s="146"/>
      <c r="AA87" s="146"/>
      <c r="AB87" s="146"/>
      <c r="AC87" s="146"/>
      <c r="AD87" s="146"/>
      <c r="AE87" s="146"/>
      <c r="AF87" s="710"/>
      <c r="AG87" s="146"/>
      <c r="AH87" s="146"/>
      <c r="AI87" s="146"/>
      <c r="AJ87" s="724"/>
      <c r="AK87" s="860" t="str">
        <f t="shared" si="33"/>
        <v>Si</v>
      </c>
      <c r="AL87" s="862">
        <f t="shared" si="34"/>
        <v>125000</v>
      </c>
    </row>
    <row r="88" spans="2:38" ht="28.8" x14ac:dyDescent="0.3">
      <c r="B88" s="397" t="s">
        <v>169</v>
      </c>
      <c r="C88" s="435" t="s">
        <v>170</v>
      </c>
      <c r="D88" s="435"/>
      <c r="E88" s="435"/>
      <c r="F88" s="435"/>
      <c r="G88" s="435"/>
      <c r="H88" s="515" t="s">
        <v>171</v>
      </c>
      <c r="I88" s="414">
        <v>40000</v>
      </c>
      <c r="J88" s="414">
        <v>40000</v>
      </c>
      <c r="K88" s="49">
        <v>46262</v>
      </c>
      <c r="L88" s="421">
        <v>46535</v>
      </c>
      <c r="M88" s="711"/>
      <c r="N88" s="710"/>
      <c r="O88" s="710"/>
      <c r="P88" s="710"/>
      <c r="Q88" s="710"/>
      <c r="R88" s="710"/>
      <c r="S88" s="710"/>
      <c r="T88" s="591">
        <v>8000</v>
      </c>
      <c r="U88" s="591">
        <v>0</v>
      </c>
      <c r="V88" s="591">
        <v>0</v>
      </c>
      <c r="W88" s="591">
        <v>0</v>
      </c>
      <c r="X88" s="716">
        <v>16000</v>
      </c>
      <c r="Y88" s="597">
        <v>0</v>
      </c>
      <c r="Z88" s="591">
        <v>0</v>
      </c>
      <c r="AA88" s="591">
        <v>0</v>
      </c>
      <c r="AB88" s="591">
        <v>0</v>
      </c>
      <c r="AC88" s="591">
        <v>16000</v>
      </c>
      <c r="AD88" s="710"/>
      <c r="AE88" s="710"/>
      <c r="AF88" s="710"/>
      <c r="AG88" s="710"/>
      <c r="AH88" s="710"/>
      <c r="AI88" s="710"/>
      <c r="AJ88" s="712"/>
      <c r="AK88" s="860" t="str">
        <f t="shared" si="33"/>
        <v>Si</v>
      </c>
      <c r="AL88" s="862">
        <f t="shared" si="34"/>
        <v>40000</v>
      </c>
    </row>
    <row r="89" spans="2:38" ht="28.8" x14ac:dyDescent="0.3">
      <c r="B89" s="397" t="s">
        <v>169</v>
      </c>
      <c r="C89" s="435" t="s">
        <v>170</v>
      </c>
      <c r="D89" s="435"/>
      <c r="E89" s="435"/>
      <c r="F89" s="435"/>
      <c r="G89" s="435"/>
      <c r="H89" s="515" t="s">
        <v>172</v>
      </c>
      <c r="I89" s="414">
        <v>200000</v>
      </c>
      <c r="J89" s="414">
        <v>125000</v>
      </c>
      <c r="K89" s="49">
        <v>46315</v>
      </c>
      <c r="L89" s="421">
        <v>46495</v>
      </c>
      <c r="M89" s="711"/>
      <c r="N89" s="710"/>
      <c r="O89" s="710"/>
      <c r="P89" s="710"/>
      <c r="Q89" s="710"/>
      <c r="R89" s="710"/>
      <c r="S89" s="710"/>
      <c r="T89" s="710"/>
      <c r="U89" s="710"/>
      <c r="V89" s="710"/>
      <c r="W89" s="710"/>
      <c r="X89" s="730"/>
      <c r="Y89" s="597">
        <v>25000</v>
      </c>
      <c r="Z89" s="591">
        <v>0</v>
      </c>
      <c r="AA89" s="716">
        <v>0</v>
      </c>
      <c r="AB89" s="591">
        <v>75000</v>
      </c>
      <c r="AC89" s="591">
        <v>0</v>
      </c>
      <c r="AD89" s="591">
        <v>0</v>
      </c>
      <c r="AE89" s="591">
        <v>25000</v>
      </c>
      <c r="AF89" s="710"/>
      <c r="AG89" s="710"/>
      <c r="AH89" s="710"/>
      <c r="AI89" s="710"/>
      <c r="AJ89" s="712"/>
      <c r="AK89" s="860" t="str">
        <f t="shared" si="33"/>
        <v>Si</v>
      </c>
      <c r="AL89" s="862">
        <f t="shared" si="34"/>
        <v>125000</v>
      </c>
    </row>
    <row r="90" spans="2:38" ht="28.8" x14ac:dyDescent="0.3">
      <c r="B90" s="397" t="s">
        <v>169</v>
      </c>
      <c r="C90" s="435" t="s">
        <v>173</v>
      </c>
      <c r="D90" s="435"/>
      <c r="E90" s="435"/>
      <c r="F90" s="435"/>
      <c r="G90" s="435"/>
      <c r="H90" s="405" t="s">
        <v>174</v>
      </c>
      <c r="I90" s="414">
        <v>200000</v>
      </c>
      <c r="J90" s="414">
        <v>125000</v>
      </c>
      <c r="K90" s="436">
        <v>46178</v>
      </c>
      <c r="L90" s="421">
        <v>46358</v>
      </c>
      <c r="M90" s="711"/>
      <c r="N90" s="710"/>
      <c r="O90" s="710"/>
      <c r="P90" s="710"/>
      <c r="Q90" s="710"/>
      <c r="R90" s="710"/>
      <c r="S90" s="710"/>
      <c r="T90" s="710"/>
      <c r="U90" s="710"/>
      <c r="V90" s="591">
        <v>25000</v>
      </c>
      <c r="W90" s="591">
        <v>0</v>
      </c>
      <c r="X90" s="716">
        <v>0</v>
      </c>
      <c r="Y90" s="597">
        <v>62500</v>
      </c>
      <c r="Z90" s="591">
        <v>0</v>
      </c>
      <c r="AA90" s="591">
        <v>0</v>
      </c>
      <c r="AB90" s="591">
        <v>0</v>
      </c>
      <c r="AC90" s="591">
        <v>37500</v>
      </c>
      <c r="AD90" s="710"/>
      <c r="AE90" s="710"/>
      <c r="AF90" s="710"/>
      <c r="AG90" s="710"/>
      <c r="AH90" s="710"/>
      <c r="AI90" s="710"/>
      <c r="AJ90" s="712"/>
      <c r="AK90" s="860" t="str">
        <f t="shared" si="33"/>
        <v>Si</v>
      </c>
      <c r="AL90" s="862">
        <f t="shared" si="34"/>
        <v>125000</v>
      </c>
    </row>
    <row r="91" spans="2:38" ht="28.8" x14ac:dyDescent="0.3">
      <c r="B91" s="397" t="s">
        <v>169</v>
      </c>
      <c r="C91" s="435" t="s">
        <v>175</v>
      </c>
      <c r="D91" s="435"/>
      <c r="E91" s="435"/>
      <c r="F91" s="435"/>
      <c r="G91" s="435"/>
      <c r="H91" s="405" t="s">
        <v>176</v>
      </c>
      <c r="I91" s="414">
        <v>200000</v>
      </c>
      <c r="J91" s="414">
        <v>125000</v>
      </c>
      <c r="K91" s="436">
        <v>46178</v>
      </c>
      <c r="L91" s="421">
        <v>46358</v>
      </c>
      <c r="M91" s="711"/>
      <c r="N91" s="710"/>
      <c r="O91" s="710"/>
      <c r="P91" s="710"/>
      <c r="Q91" s="710"/>
      <c r="R91" s="710"/>
      <c r="S91" s="710"/>
      <c r="T91" s="710"/>
      <c r="U91" s="710"/>
      <c r="V91" s="591">
        <v>25000</v>
      </c>
      <c r="W91" s="591">
        <v>0</v>
      </c>
      <c r="X91" s="716">
        <v>0</v>
      </c>
      <c r="Y91" s="597">
        <v>62500</v>
      </c>
      <c r="Z91" s="591">
        <v>0</v>
      </c>
      <c r="AA91" s="591">
        <v>0</v>
      </c>
      <c r="AB91" s="591">
        <v>0</v>
      </c>
      <c r="AC91" s="591">
        <v>37500</v>
      </c>
      <c r="AD91" s="710"/>
      <c r="AE91" s="710"/>
      <c r="AF91" s="710"/>
      <c r="AG91" s="710"/>
      <c r="AH91" s="710"/>
      <c r="AI91" s="710"/>
      <c r="AJ91" s="712"/>
      <c r="AK91" s="860" t="str">
        <f t="shared" si="33"/>
        <v>Si</v>
      </c>
      <c r="AL91" s="862">
        <f t="shared" si="34"/>
        <v>125000</v>
      </c>
    </row>
    <row r="92" spans="2:38" ht="28.8" x14ac:dyDescent="0.3">
      <c r="B92" s="397" t="s">
        <v>169</v>
      </c>
      <c r="C92" s="435" t="s">
        <v>173</v>
      </c>
      <c r="D92" s="435"/>
      <c r="E92" s="435"/>
      <c r="F92" s="435"/>
      <c r="G92" s="435"/>
      <c r="H92" s="405" t="s">
        <v>177</v>
      </c>
      <c r="I92" s="414">
        <v>35000</v>
      </c>
      <c r="J92" s="414">
        <v>35000</v>
      </c>
      <c r="K92" s="436">
        <v>46248</v>
      </c>
      <c r="L92" s="421">
        <v>46522</v>
      </c>
      <c r="M92" s="711"/>
      <c r="N92" s="710"/>
      <c r="O92" s="710"/>
      <c r="P92" s="710"/>
      <c r="Q92" s="710"/>
      <c r="R92" s="710"/>
      <c r="S92" s="710"/>
      <c r="T92" s="591">
        <v>7000</v>
      </c>
      <c r="U92" s="591">
        <v>0</v>
      </c>
      <c r="V92" s="591">
        <v>0</v>
      </c>
      <c r="W92" s="591">
        <v>0</v>
      </c>
      <c r="X92" s="716">
        <v>0</v>
      </c>
      <c r="Y92" s="597">
        <v>14000</v>
      </c>
      <c r="Z92" s="591">
        <v>0</v>
      </c>
      <c r="AA92" s="591">
        <v>0</v>
      </c>
      <c r="AB92" s="591">
        <v>0</v>
      </c>
      <c r="AC92" s="591">
        <v>14000</v>
      </c>
      <c r="AD92" s="710"/>
      <c r="AE92" s="710"/>
      <c r="AF92" s="710"/>
      <c r="AG92" s="710"/>
      <c r="AH92" s="710"/>
      <c r="AI92" s="710"/>
      <c r="AJ92" s="712"/>
      <c r="AK92" s="860" t="str">
        <f t="shared" si="33"/>
        <v>Si</v>
      </c>
      <c r="AL92" s="862">
        <f t="shared" si="34"/>
        <v>35000</v>
      </c>
    </row>
    <row r="93" spans="2:38" ht="28.8" x14ac:dyDescent="0.3">
      <c r="B93" s="397" t="s">
        <v>169</v>
      </c>
      <c r="C93" s="435" t="s">
        <v>173</v>
      </c>
      <c r="D93" s="435"/>
      <c r="E93" s="435"/>
      <c r="F93" s="435"/>
      <c r="G93" s="435"/>
      <c r="H93" s="405" t="s">
        <v>178</v>
      </c>
      <c r="I93" s="414">
        <v>35000</v>
      </c>
      <c r="J93" s="414">
        <v>35000</v>
      </c>
      <c r="K93" s="436">
        <v>46217</v>
      </c>
      <c r="L93" s="421">
        <v>46492</v>
      </c>
      <c r="M93" s="711"/>
      <c r="N93" s="710"/>
      <c r="O93" s="710"/>
      <c r="P93" s="710"/>
      <c r="Q93" s="710"/>
      <c r="R93" s="710"/>
      <c r="S93" s="710"/>
      <c r="T93" s="710"/>
      <c r="U93" s="710"/>
      <c r="V93" s="710"/>
      <c r="W93" s="710"/>
      <c r="X93" s="730"/>
      <c r="Y93" s="597">
        <v>3500</v>
      </c>
      <c r="Z93" s="591">
        <v>3500</v>
      </c>
      <c r="AA93" s="591">
        <v>3500</v>
      </c>
      <c r="AB93" s="591">
        <v>3500</v>
      </c>
      <c r="AC93" s="591">
        <v>3500</v>
      </c>
      <c r="AD93" s="591">
        <v>3500</v>
      </c>
      <c r="AE93" s="591">
        <v>3500</v>
      </c>
      <c r="AF93" s="591">
        <v>3500</v>
      </c>
      <c r="AG93" s="591">
        <v>3500</v>
      </c>
      <c r="AH93" s="591">
        <v>3500</v>
      </c>
      <c r="AI93" s="710"/>
      <c r="AJ93" s="712"/>
      <c r="AK93" s="860" t="str">
        <f t="shared" si="33"/>
        <v>Si</v>
      </c>
      <c r="AL93" s="862">
        <f t="shared" si="34"/>
        <v>35000</v>
      </c>
    </row>
    <row r="94" spans="2:38" ht="28.8" x14ac:dyDescent="0.3">
      <c r="B94" s="397" t="s">
        <v>179</v>
      </c>
      <c r="C94" s="435" t="s">
        <v>173</v>
      </c>
      <c r="D94" s="435"/>
      <c r="E94" s="435"/>
      <c r="F94" s="924" t="s">
        <v>1515</v>
      </c>
      <c r="G94" s="924"/>
      <c r="H94" s="405" t="s">
        <v>180</v>
      </c>
      <c r="I94" s="414">
        <v>35000</v>
      </c>
      <c r="J94" s="414">
        <v>35000</v>
      </c>
      <c r="K94" s="436">
        <v>46252</v>
      </c>
      <c r="L94" s="421">
        <v>46523</v>
      </c>
      <c r="M94" s="723"/>
      <c r="N94" s="146"/>
      <c r="O94" s="146"/>
      <c r="P94" s="146"/>
      <c r="Q94" s="146"/>
      <c r="R94" s="146"/>
      <c r="S94" s="146"/>
      <c r="T94" s="710"/>
      <c r="U94" s="710"/>
      <c r="V94" s="710"/>
      <c r="W94" s="710"/>
      <c r="X94" s="730"/>
      <c r="Y94" s="597">
        <v>7000</v>
      </c>
      <c r="Z94" s="591">
        <v>0</v>
      </c>
      <c r="AA94" s="591">
        <v>0</v>
      </c>
      <c r="AB94" s="591">
        <v>0</v>
      </c>
      <c r="AC94" s="591">
        <v>0</v>
      </c>
      <c r="AD94" s="850">
        <v>14000</v>
      </c>
      <c r="AE94" s="591">
        <v>0</v>
      </c>
      <c r="AF94" s="591">
        <v>0</v>
      </c>
      <c r="AG94" s="591">
        <v>0</v>
      </c>
      <c r="AH94" s="591">
        <v>14000</v>
      </c>
      <c r="AI94" s="146"/>
      <c r="AJ94" s="724"/>
      <c r="AK94" s="860" t="str">
        <f t="shared" si="33"/>
        <v>Si</v>
      </c>
      <c r="AL94" s="862">
        <f t="shared" si="34"/>
        <v>35000</v>
      </c>
    </row>
    <row r="95" spans="2:38" ht="28.8" x14ac:dyDescent="0.3">
      <c r="B95" s="397" t="s">
        <v>144</v>
      </c>
      <c r="C95" s="435" t="s">
        <v>173</v>
      </c>
      <c r="D95" s="435"/>
      <c r="E95" s="435"/>
      <c r="F95" s="924" t="s">
        <v>1515</v>
      </c>
      <c r="G95" s="924"/>
      <c r="H95" s="405" t="s">
        <v>181</v>
      </c>
      <c r="I95" s="387">
        <v>10000</v>
      </c>
      <c r="J95" s="387">
        <v>10000</v>
      </c>
      <c r="K95" s="436">
        <v>46027</v>
      </c>
      <c r="L95" s="421">
        <v>46207</v>
      </c>
      <c r="M95" s="591">
        <v>2000</v>
      </c>
      <c r="N95" s="591">
        <v>0</v>
      </c>
      <c r="O95" s="591">
        <v>0</v>
      </c>
      <c r="P95" s="591">
        <v>5000</v>
      </c>
      <c r="Q95" s="591">
        <v>0</v>
      </c>
      <c r="R95" s="591">
        <v>0</v>
      </c>
      <c r="S95" s="591">
        <v>3000</v>
      </c>
      <c r="T95" s="710"/>
      <c r="U95" s="710"/>
      <c r="V95" s="710"/>
      <c r="W95" s="146"/>
      <c r="X95" s="729"/>
      <c r="Y95" s="723"/>
      <c r="Z95" s="146"/>
      <c r="AA95" s="146"/>
      <c r="AB95" s="146"/>
      <c r="AC95" s="146"/>
      <c r="AD95" s="146"/>
      <c r="AE95" s="146"/>
      <c r="AF95" s="146"/>
      <c r="AG95" s="146"/>
      <c r="AH95" s="146"/>
      <c r="AI95" s="146"/>
      <c r="AJ95" s="724"/>
      <c r="AK95" s="860" t="str">
        <f t="shared" si="33"/>
        <v>Si</v>
      </c>
      <c r="AL95" s="862">
        <f t="shared" si="34"/>
        <v>10000</v>
      </c>
    </row>
    <row r="96" spans="2:38" ht="28.8" x14ac:dyDescent="0.3">
      <c r="B96" s="397" t="s">
        <v>182</v>
      </c>
      <c r="C96" s="435" t="s">
        <v>173</v>
      </c>
      <c r="D96" s="435"/>
      <c r="E96" s="435"/>
      <c r="F96" s="925" t="s">
        <v>1516</v>
      </c>
      <c r="G96" s="925"/>
      <c r="H96" s="405" t="s">
        <v>183</v>
      </c>
      <c r="I96" s="387">
        <v>48000</v>
      </c>
      <c r="J96" s="387">
        <v>48000</v>
      </c>
      <c r="K96" s="436">
        <v>46092</v>
      </c>
      <c r="L96" s="421">
        <v>46272</v>
      </c>
      <c r="M96" s="723"/>
      <c r="N96" s="146"/>
      <c r="O96" s="146"/>
      <c r="P96" s="146"/>
      <c r="Q96" s="146"/>
      <c r="R96" s="146"/>
      <c r="S96" s="146"/>
      <c r="T96" s="146"/>
      <c r="U96" s="146"/>
      <c r="V96" s="146"/>
      <c r="W96" s="146"/>
      <c r="X96" s="729"/>
      <c r="Y96" s="597">
        <v>6857.1428571428569</v>
      </c>
      <c r="Z96" s="591">
        <v>6857.1428571428569</v>
      </c>
      <c r="AA96" s="591">
        <v>6857.1428571428569</v>
      </c>
      <c r="AB96" s="591">
        <v>6857.1428571428569</v>
      </c>
      <c r="AC96" s="591">
        <v>6857.1428571428569</v>
      </c>
      <c r="AD96" s="591">
        <v>6857.1428571428569</v>
      </c>
      <c r="AE96" s="591">
        <v>6857.1428571428569</v>
      </c>
      <c r="AF96" s="146"/>
      <c r="AG96" s="146"/>
      <c r="AH96" s="146"/>
      <c r="AI96" s="146"/>
      <c r="AJ96" s="724"/>
      <c r="AK96" s="860" t="str">
        <f t="shared" si="33"/>
        <v>Si</v>
      </c>
      <c r="AL96" s="862">
        <f t="shared" si="34"/>
        <v>47999.999999999993</v>
      </c>
    </row>
    <row r="97" spans="2:38" x14ac:dyDescent="0.3">
      <c r="B97" s="397" t="s">
        <v>134</v>
      </c>
      <c r="C97" s="435" t="s">
        <v>184</v>
      </c>
      <c r="D97" s="435"/>
      <c r="E97" s="435"/>
      <c r="F97" s="435" t="s">
        <v>1518</v>
      </c>
      <c r="G97" s="435"/>
      <c r="H97" s="405" t="s">
        <v>185</v>
      </c>
      <c r="I97" s="414">
        <v>900</v>
      </c>
      <c r="J97" s="414">
        <v>900</v>
      </c>
      <c r="K97" s="436" t="s">
        <v>63</v>
      </c>
      <c r="L97" s="411" t="s">
        <v>63</v>
      </c>
      <c r="M97" s="597">
        <v>52.941176470588232</v>
      </c>
      <c r="N97" s="591">
        <v>52.941176470588232</v>
      </c>
      <c r="O97" s="591">
        <v>52.941176470588232</v>
      </c>
      <c r="P97" s="591">
        <v>52.941176470588232</v>
      </c>
      <c r="Q97" s="591">
        <v>52.941176470588232</v>
      </c>
      <c r="R97" s="591">
        <v>52.941176470588232</v>
      </c>
      <c r="S97" s="591">
        <v>52.941176470588232</v>
      </c>
      <c r="T97" s="591">
        <v>52.941176470588232</v>
      </c>
      <c r="U97" s="591">
        <v>52.941176470588232</v>
      </c>
      <c r="V97" s="591">
        <v>52.941176470588232</v>
      </c>
      <c r="W97" s="591">
        <v>52.941176470588232</v>
      </c>
      <c r="X97" s="716">
        <v>52.941176470588232</v>
      </c>
      <c r="Y97" s="597">
        <v>52.941176470588232</v>
      </c>
      <c r="Z97" s="591">
        <v>52.941176470588232</v>
      </c>
      <c r="AA97" s="591">
        <v>52.941176470588232</v>
      </c>
      <c r="AB97" s="591">
        <v>52.941176470588232</v>
      </c>
      <c r="AC97" s="591">
        <v>52.941176470588232</v>
      </c>
      <c r="AD97" s="146"/>
      <c r="AE97" s="146"/>
      <c r="AF97" s="146"/>
      <c r="AG97" s="146"/>
      <c r="AH97" s="146"/>
      <c r="AI97" s="146"/>
      <c r="AJ97" s="724"/>
      <c r="AK97" s="860" t="str">
        <f t="shared" si="33"/>
        <v>Si</v>
      </c>
      <c r="AL97" s="862">
        <f t="shared" si="34"/>
        <v>900.00000000000023</v>
      </c>
    </row>
    <row r="98" spans="2:38" x14ac:dyDescent="0.3">
      <c r="B98" s="397" t="s">
        <v>134</v>
      </c>
      <c r="C98" s="435" t="s">
        <v>186</v>
      </c>
      <c r="D98" s="435"/>
      <c r="E98" s="435"/>
      <c r="F98" s="435" t="s">
        <v>1518</v>
      </c>
      <c r="G98" s="435"/>
      <c r="H98" s="405" t="s">
        <v>187</v>
      </c>
      <c r="I98" s="414">
        <v>4000</v>
      </c>
      <c r="J98" s="414">
        <v>4000</v>
      </c>
      <c r="K98" s="436" t="s">
        <v>63</v>
      </c>
      <c r="L98" s="411" t="s">
        <v>63</v>
      </c>
      <c r="M98" s="597">
        <v>235.29411764705881</v>
      </c>
      <c r="N98" s="591">
        <v>235.29411764705881</v>
      </c>
      <c r="O98" s="591">
        <v>235.29411764705881</v>
      </c>
      <c r="P98" s="591">
        <v>235.29411764705881</v>
      </c>
      <c r="Q98" s="591">
        <v>235.29411764705881</v>
      </c>
      <c r="R98" s="591">
        <v>235.29411764705881</v>
      </c>
      <c r="S98" s="591">
        <v>235.29411764705881</v>
      </c>
      <c r="T98" s="591">
        <v>235.29411764705881</v>
      </c>
      <c r="U98" s="591">
        <v>235.29411764705881</v>
      </c>
      <c r="V98" s="591">
        <v>235.29411764705881</v>
      </c>
      <c r="W98" s="591">
        <v>235.29411764705881</v>
      </c>
      <c r="X98" s="716">
        <v>235.29411764705881</v>
      </c>
      <c r="Y98" s="597">
        <v>235.29411764705881</v>
      </c>
      <c r="Z98" s="591">
        <v>235.29411764705881</v>
      </c>
      <c r="AA98" s="591">
        <v>235.29411764705881</v>
      </c>
      <c r="AB98" s="591">
        <v>235.29411764705881</v>
      </c>
      <c r="AC98" s="591">
        <v>235.29411764705881</v>
      </c>
      <c r="AD98" s="146"/>
      <c r="AE98" s="146"/>
      <c r="AF98" s="146"/>
      <c r="AG98" s="146"/>
      <c r="AH98" s="146"/>
      <c r="AI98" s="146"/>
      <c r="AJ98" s="724"/>
      <c r="AK98" s="860" t="str">
        <f t="shared" si="33"/>
        <v>Si</v>
      </c>
      <c r="AL98" s="862">
        <f t="shared" si="34"/>
        <v>4000.0000000000014</v>
      </c>
    </row>
    <row r="99" spans="2:38" x14ac:dyDescent="0.3">
      <c r="B99" s="397" t="s">
        <v>134</v>
      </c>
      <c r="C99" s="435" t="s">
        <v>188</v>
      </c>
      <c r="D99" s="435"/>
      <c r="E99" s="435"/>
      <c r="F99" s="435" t="s">
        <v>1518</v>
      </c>
      <c r="G99" s="435"/>
      <c r="H99" s="405" t="s">
        <v>189</v>
      </c>
      <c r="I99" s="414">
        <v>40000</v>
      </c>
      <c r="J99" s="414">
        <v>12941.176470588232</v>
      </c>
      <c r="K99" s="436" t="s">
        <v>63</v>
      </c>
      <c r="L99" s="411" t="s">
        <v>63</v>
      </c>
      <c r="M99" s="597">
        <v>588.23529411764707</v>
      </c>
      <c r="N99" s="591">
        <v>588.23529411764707</v>
      </c>
      <c r="O99" s="591">
        <v>588.23529411764707</v>
      </c>
      <c r="P99" s="591">
        <v>588.23529411764707</v>
      </c>
      <c r="Q99" s="591">
        <v>588.23529411764707</v>
      </c>
      <c r="R99" s="591">
        <v>588.23529411764707</v>
      </c>
      <c r="S99" s="591">
        <v>588.23529411764707</v>
      </c>
      <c r="T99" s="591">
        <v>588.23529411764707</v>
      </c>
      <c r="U99" s="591">
        <v>588.23529411764707</v>
      </c>
      <c r="V99" s="591">
        <v>588.23529411764707</v>
      </c>
      <c r="W99" s="591">
        <v>588.23529411764707</v>
      </c>
      <c r="X99" s="716">
        <v>588.23529411764707</v>
      </c>
      <c r="Y99" s="597">
        <v>588.23529411764707</v>
      </c>
      <c r="Z99" s="591">
        <v>588.23529411764707</v>
      </c>
      <c r="AA99" s="591">
        <v>588.23529411764707</v>
      </c>
      <c r="AB99" s="591">
        <v>588.23529411764707</v>
      </c>
      <c r="AC99" s="716">
        <v>588.23529411764707</v>
      </c>
      <c r="AD99" s="591">
        <v>588.23529411764707</v>
      </c>
      <c r="AE99" s="591">
        <v>588.23529411764707</v>
      </c>
      <c r="AF99" s="591">
        <v>588.23529411764707</v>
      </c>
      <c r="AG99" s="591">
        <v>588.23529411764707</v>
      </c>
      <c r="AH99" s="591">
        <v>588.23529411764707</v>
      </c>
      <c r="AI99" s="710"/>
      <c r="AJ99" s="712"/>
      <c r="AK99" s="860" t="str">
        <f t="shared" si="33"/>
        <v>Si</v>
      </c>
      <c r="AL99" s="862">
        <f>+SUM(M99:AJ99)</f>
        <v>12941.176470588232</v>
      </c>
    </row>
    <row r="100" spans="2:38" ht="28.8" x14ac:dyDescent="0.3">
      <c r="B100" s="397" t="s">
        <v>134</v>
      </c>
      <c r="C100" s="435" t="s">
        <v>190</v>
      </c>
      <c r="D100" s="435"/>
      <c r="E100" s="435"/>
      <c r="F100" s="435" t="s">
        <v>1518</v>
      </c>
      <c r="G100" s="435"/>
      <c r="H100" s="405" t="s">
        <v>191</v>
      </c>
      <c r="I100" s="414">
        <f>15000+10500+3000</f>
        <v>28500</v>
      </c>
      <c r="J100" s="414">
        <v>25882.352941176465</v>
      </c>
      <c r="K100" s="436" t="s">
        <v>63</v>
      </c>
      <c r="L100" s="411" t="s">
        <v>63</v>
      </c>
      <c r="M100" s="597">
        <v>1176.4705882352941</v>
      </c>
      <c r="N100" s="591">
        <v>1176.4705882352941</v>
      </c>
      <c r="O100" s="591">
        <v>1176.4705882352941</v>
      </c>
      <c r="P100" s="591">
        <v>1176.4705882352941</v>
      </c>
      <c r="Q100" s="591">
        <v>1176.4705882352941</v>
      </c>
      <c r="R100" s="591">
        <v>1176.4705882352941</v>
      </c>
      <c r="S100" s="591">
        <v>1176.4705882352941</v>
      </c>
      <c r="T100" s="591">
        <v>1176.4705882352941</v>
      </c>
      <c r="U100" s="591">
        <v>1176.4705882352941</v>
      </c>
      <c r="V100" s="591">
        <v>1176.4705882352941</v>
      </c>
      <c r="W100" s="591">
        <v>1176.4705882352941</v>
      </c>
      <c r="X100" s="716">
        <v>1176.4705882352941</v>
      </c>
      <c r="Y100" s="597">
        <v>1176.4705882352941</v>
      </c>
      <c r="Z100" s="591">
        <v>1176.4705882352941</v>
      </c>
      <c r="AA100" s="591">
        <v>1176.4705882352941</v>
      </c>
      <c r="AB100" s="591">
        <v>1176.4705882352941</v>
      </c>
      <c r="AC100" s="716">
        <v>1176.4705882352941</v>
      </c>
      <c r="AD100" s="591">
        <v>1176.4705882352941</v>
      </c>
      <c r="AE100" s="591">
        <v>1176.4705882352941</v>
      </c>
      <c r="AF100" s="591">
        <v>1176.4705882352941</v>
      </c>
      <c r="AG100" s="591">
        <v>1176.4705882352941</v>
      </c>
      <c r="AH100" s="591">
        <v>1176.4705882352941</v>
      </c>
      <c r="AI100" s="710"/>
      <c r="AJ100" s="712"/>
      <c r="AK100" s="860" t="str">
        <f t="shared" si="33"/>
        <v>Si</v>
      </c>
      <c r="AL100" s="862">
        <f t="shared" si="34"/>
        <v>25882.352941176465</v>
      </c>
    </row>
    <row r="101" spans="2:38" ht="28.8" x14ac:dyDescent="0.3">
      <c r="B101" s="397" t="s">
        <v>134</v>
      </c>
      <c r="C101" s="435" t="s">
        <v>192</v>
      </c>
      <c r="D101" s="435"/>
      <c r="E101" s="435"/>
      <c r="F101" s="435" t="s">
        <v>1518</v>
      </c>
      <c r="G101" s="435"/>
      <c r="H101" s="405" t="s">
        <v>193</v>
      </c>
      <c r="I101" s="414">
        <f>727.49*3+5000+606.25</f>
        <v>7788.72</v>
      </c>
      <c r="J101" s="414">
        <v>10079.519999999999</v>
      </c>
      <c r="K101" s="436" t="s">
        <v>63</v>
      </c>
      <c r="L101" s="411" t="s">
        <v>63</v>
      </c>
      <c r="M101" s="597">
        <v>458.16</v>
      </c>
      <c r="N101" s="591">
        <v>458.16</v>
      </c>
      <c r="O101" s="591">
        <v>458.16</v>
      </c>
      <c r="P101" s="591">
        <v>458.16</v>
      </c>
      <c r="Q101" s="591">
        <v>458.16</v>
      </c>
      <c r="R101" s="591">
        <v>458.16</v>
      </c>
      <c r="S101" s="591">
        <v>458.16</v>
      </c>
      <c r="T101" s="591">
        <v>458.16</v>
      </c>
      <c r="U101" s="591">
        <v>458.16</v>
      </c>
      <c r="V101" s="591">
        <v>458.16</v>
      </c>
      <c r="W101" s="591">
        <v>458.16</v>
      </c>
      <c r="X101" s="716">
        <v>458.16</v>
      </c>
      <c r="Y101" s="597">
        <v>458.16</v>
      </c>
      <c r="Z101" s="591">
        <v>458.16</v>
      </c>
      <c r="AA101" s="591">
        <v>458.16</v>
      </c>
      <c r="AB101" s="591">
        <v>458.16</v>
      </c>
      <c r="AC101" s="716">
        <v>458.16</v>
      </c>
      <c r="AD101" s="591">
        <v>458.16</v>
      </c>
      <c r="AE101" s="591">
        <v>458.16</v>
      </c>
      <c r="AF101" s="591">
        <v>458.16</v>
      </c>
      <c r="AG101" s="591">
        <v>458.16</v>
      </c>
      <c r="AH101" s="591">
        <v>458.16</v>
      </c>
      <c r="AI101" s="710"/>
      <c r="AJ101" s="712"/>
      <c r="AK101" s="860" t="str">
        <f t="shared" si="33"/>
        <v>Si</v>
      </c>
      <c r="AL101" s="862">
        <f t="shared" si="34"/>
        <v>10079.519999999999</v>
      </c>
    </row>
    <row r="102" spans="2:38" ht="28.8" x14ac:dyDescent="0.3">
      <c r="B102" s="397" t="s">
        <v>134</v>
      </c>
      <c r="C102" s="435" t="s">
        <v>194</v>
      </c>
      <c r="D102" s="435"/>
      <c r="E102" s="435"/>
      <c r="F102" s="435" t="s">
        <v>1518</v>
      </c>
      <c r="G102" s="435"/>
      <c r="H102" s="405" t="s">
        <v>111</v>
      </c>
      <c r="I102" s="414">
        <v>68000</v>
      </c>
      <c r="J102" s="414">
        <v>19411.764705882353</v>
      </c>
      <c r="K102" s="436" t="s">
        <v>63</v>
      </c>
      <c r="L102" s="411" t="s">
        <v>63</v>
      </c>
      <c r="M102" s="597">
        <v>882.35294117647061</v>
      </c>
      <c r="N102" s="591">
        <v>882.35294117647061</v>
      </c>
      <c r="O102" s="591">
        <v>882.35294117647061</v>
      </c>
      <c r="P102" s="591">
        <v>882.35294117647061</v>
      </c>
      <c r="Q102" s="591">
        <v>882.35294117647061</v>
      </c>
      <c r="R102" s="591">
        <v>882.35294117647061</v>
      </c>
      <c r="S102" s="591">
        <v>882.35294117647061</v>
      </c>
      <c r="T102" s="591">
        <v>882.35294117647061</v>
      </c>
      <c r="U102" s="591">
        <v>882.35294117647061</v>
      </c>
      <c r="V102" s="591">
        <v>882.35294117647061</v>
      </c>
      <c r="W102" s="591">
        <v>882.35294117647061</v>
      </c>
      <c r="X102" s="716">
        <v>882.35294117647061</v>
      </c>
      <c r="Y102" s="597">
        <v>882.35294117647061</v>
      </c>
      <c r="Z102" s="591">
        <v>882.35294117647061</v>
      </c>
      <c r="AA102" s="591">
        <v>882.35294117647061</v>
      </c>
      <c r="AB102" s="591">
        <v>882.35294117647061</v>
      </c>
      <c r="AC102" s="716">
        <v>882.35294117647061</v>
      </c>
      <c r="AD102" s="591">
        <v>882.35294117647061</v>
      </c>
      <c r="AE102" s="591">
        <v>882.35294117647061</v>
      </c>
      <c r="AF102" s="591">
        <v>882.35294117647061</v>
      </c>
      <c r="AG102" s="591">
        <v>882.35294117647061</v>
      </c>
      <c r="AH102" s="591">
        <v>882.35294117647061</v>
      </c>
      <c r="AI102" s="710"/>
      <c r="AJ102" s="712"/>
      <c r="AK102" s="860" t="str">
        <f t="shared" si="33"/>
        <v>Si</v>
      </c>
      <c r="AL102" s="862">
        <f t="shared" si="34"/>
        <v>19411.764705882353</v>
      </c>
    </row>
    <row r="103" spans="2:38" x14ac:dyDescent="0.3">
      <c r="B103" s="397" t="s">
        <v>134</v>
      </c>
      <c r="C103" s="435" t="s">
        <v>195</v>
      </c>
      <c r="D103" s="435"/>
      <c r="E103" s="435"/>
      <c r="F103" s="435" t="s">
        <v>1518</v>
      </c>
      <c r="G103" s="435"/>
      <c r="H103" s="405" t="s">
        <v>185</v>
      </c>
      <c r="I103" s="414">
        <f>900+1000+12000+1000</f>
        <v>14900</v>
      </c>
      <c r="J103" s="414">
        <v>4529.4117647058838</v>
      </c>
      <c r="K103" s="436" t="s">
        <v>63</v>
      </c>
      <c r="L103" s="411" t="s">
        <v>63</v>
      </c>
      <c r="M103" s="597">
        <v>205.88235294117646</v>
      </c>
      <c r="N103" s="591">
        <v>205.88235294117646</v>
      </c>
      <c r="O103" s="591">
        <v>205.88235294117646</v>
      </c>
      <c r="P103" s="591">
        <v>205.88235294117646</v>
      </c>
      <c r="Q103" s="591">
        <v>205.88235294117646</v>
      </c>
      <c r="R103" s="591">
        <v>205.88235294117646</v>
      </c>
      <c r="S103" s="591">
        <v>205.88235294117646</v>
      </c>
      <c r="T103" s="591">
        <v>205.88235294117646</v>
      </c>
      <c r="U103" s="591">
        <v>205.88235294117646</v>
      </c>
      <c r="V103" s="591">
        <v>205.88235294117646</v>
      </c>
      <c r="W103" s="591">
        <v>205.88235294117646</v>
      </c>
      <c r="X103" s="716">
        <v>205.88235294117646</v>
      </c>
      <c r="Y103" s="597">
        <v>205.88235294117646</v>
      </c>
      <c r="Z103" s="591">
        <v>205.88235294117646</v>
      </c>
      <c r="AA103" s="591">
        <v>205.88235294117646</v>
      </c>
      <c r="AB103" s="591">
        <v>205.88235294117646</v>
      </c>
      <c r="AC103" s="716">
        <v>205.88235294117646</v>
      </c>
      <c r="AD103" s="591">
        <v>205.88235294117646</v>
      </c>
      <c r="AE103" s="591">
        <v>205.88235294117646</v>
      </c>
      <c r="AF103" s="591">
        <v>205.88235294117646</v>
      </c>
      <c r="AG103" s="591">
        <v>205.88235294117646</v>
      </c>
      <c r="AH103" s="591">
        <v>205.88235294117646</v>
      </c>
      <c r="AI103" s="710"/>
      <c r="AJ103" s="712"/>
      <c r="AK103" s="860" t="str">
        <f t="shared" si="33"/>
        <v>Si</v>
      </c>
      <c r="AL103" s="862">
        <f t="shared" si="34"/>
        <v>4529.4117647058838</v>
      </c>
    </row>
    <row r="104" spans="2:38" x14ac:dyDescent="0.3">
      <c r="B104" s="397" t="s">
        <v>134</v>
      </c>
      <c r="C104" s="435" t="s">
        <v>173</v>
      </c>
      <c r="D104" s="435"/>
      <c r="E104" s="435"/>
      <c r="F104" s="435" t="s">
        <v>1518</v>
      </c>
      <c r="G104" s="435"/>
      <c r="H104" s="405" t="s">
        <v>106</v>
      </c>
      <c r="I104" s="414">
        <v>25000</v>
      </c>
      <c r="J104" s="414">
        <v>19411.764705882353</v>
      </c>
      <c r="K104" s="436" t="s">
        <v>63</v>
      </c>
      <c r="L104" s="411" t="s">
        <v>63</v>
      </c>
      <c r="M104" s="597">
        <v>882.35294117647061</v>
      </c>
      <c r="N104" s="591">
        <v>882.35294117647061</v>
      </c>
      <c r="O104" s="591">
        <v>882.35294117647061</v>
      </c>
      <c r="P104" s="591">
        <v>882.35294117647061</v>
      </c>
      <c r="Q104" s="591">
        <v>882.35294117647061</v>
      </c>
      <c r="R104" s="591">
        <v>882.35294117647061</v>
      </c>
      <c r="S104" s="591">
        <v>882.35294117647061</v>
      </c>
      <c r="T104" s="591">
        <v>882.35294117647061</v>
      </c>
      <c r="U104" s="591">
        <v>882.35294117647061</v>
      </c>
      <c r="V104" s="591">
        <v>882.35294117647061</v>
      </c>
      <c r="W104" s="591">
        <v>882.35294117647061</v>
      </c>
      <c r="X104" s="716">
        <v>882.35294117647061</v>
      </c>
      <c r="Y104" s="597">
        <v>882.35294117647061</v>
      </c>
      <c r="Z104" s="591">
        <v>882.35294117647061</v>
      </c>
      <c r="AA104" s="591">
        <v>882.35294117647061</v>
      </c>
      <c r="AB104" s="591">
        <v>882.35294117647061</v>
      </c>
      <c r="AC104" s="716">
        <v>882.35294117647061</v>
      </c>
      <c r="AD104" s="591">
        <v>882.35294117647061</v>
      </c>
      <c r="AE104" s="591">
        <v>882.35294117647061</v>
      </c>
      <c r="AF104" s="591">
        <v>882.35294117647061</v>
      </c>
      <c r="AG104" s="591">
        <v>882.35294117647061</v>
      </c>
      <c r="AH104" s="591">
        <v>882.35294117647061</v>
      </c>
      <c r="AI104" s="710"/>
      <c r="AJ104" s="712"/>
      <c r="AK104" s="860" t="str">
        <f t="shared" si="33"/>
        <v>Si</v>
      </c>
      <c r="AL104" s="862">
        <f t="shared" si="34"/>
        <v>19411.764705882353</v>
      </c>
    </row>
    <row r="105" spans="2:38" ht="15" thickBot="1" x14ac:dyDescent="0.35">
      <c r="B105" s="398" t="s">
        <v>134</v>
      </c>
      <c r="C105" s="429" t="s">
        <v>173</v>
      </c>
      <c r="D105" s="429"/>
      <c r="E105" s="429"/>
      <c r="F105" s="429" t="s">
        <v>1518</v>
      </c>
      <c r="G105" s="429"/>
      <c r="H105" s="427" t="s">
        <v>196</v>
      </c>
      <c r="I105" s="428">
        <v>30000</v>
      </c>
      <c r="J105" s="428">
        <v>30000</v>
      </c>
      <c r="K105" s="447" t="s">
        <v>63</v>
      </c>
      <c r="L105" s="412" t="s">
        <v>63</v>
      </c>
      <c r="M105" s="597">
        <v>1764.7058823529412</v>
      </c>
      <c r="N105" s="591">
        <v>1764.7058823529412</v>
      </c>
      <c r="O105" s="591">
        <v>1764.7058823529412</v>
      </c>
      <c r="P105" s="591">
        <v>1764.7058823529412</v>
      </c>
      <c r="Q105" s="591">
        <v>1764.7058823529412</v>
      </c>
      <c r="R105" s="591">
        <v>1764.7058823529412</v>
      </c>
      <c r="S105" s="591">
        <v>1764.7058823529412</v>
      </c>
      <c r="T105" s="591">
        <v>1764.7058823529412</v>
      </c>
      <c r="U105" s="591">
        <v>1764.7058823529412</v>
      </c>
      <c r="V105" s="591">
        <v>1764.7058823529412</v>
      </c>
      <c r="W105" s="591">
        <v>1764.7058823529412</v>
      </c>
      <c r="X105" s="716">
        <v>1764.7058823529412</v>
      </c>
      <c r="Y105" s="597">
        <v>1764.7058823529412</v>
      </c>
      <c r="Z105" s="591">
        <v>1764.7058823529412</v>
      </c>
      <c r="AA105" s="591">
        <v>1764.7058823529412</v>
      </c>
      <c r="AB105" s="591">
        <v>1764.7058823529412</v>
      </c>
      <c r="AC105" s="591">
        <v>1764.7058823529412</v>
      </c>
      <c r="AD105" s="146"/>
      <c r="AE105" s="146"/>
      <c r="AF105" s="146"/>
      <c r="AG105" s="146"/>
      <c r="AH105" s="146"/>
      <c r="AI105" s="146"/>
      <c r="AJ105" s="724"/>
      <c r="AK105" s="860" t="str">
        <f t="shared" si="33"/>
        <v>Si</v>
      </c>
      <c r="AL105" s="862">
        <f t="shared" si="34"/>
        <v>29999.999999999993</v>
      </c>
    </row>
    <row r="106" spans="2:38" ht="15" thickBot="1" x14ac:dyDescent="0.35">
      <c r="B106" s="459"/>
      <c r="C106" s="460"/>
      <c r="D106" s="460"/>
      <c r="E106" s="460"/>
      <c r="F106" s="460"/>
      <c r="G106" s="460"/>
      <c r="H106" s="462" t="s">
        <v>26</v>
      </c>
      <c r="I106" s="463">
        <f>SUM(I86:I105)</f>
        <v>1552088.72</v>
      </c>
      <c r="J106" s="463">
        <f>SUM(J86:J105)</f>
        <v>1030155.9905882354</v>
      </c>
      <c r="K106" s="461"/>
      <c r="M106" s="739">
        <f>+SUM(M86:M105)</f>
        <v>8246.3952941176467</v>
      </c>
      <c r="N106" s="738">
        <f t="shared" ref="N106:AJ106" si="35">+SUM(N86:N105)</f>
        <v>6246.3952941176476</v>
      </c>
      <c r="O106" s="738">
        <f t="shared" si="35"/>
        <v>6246.3952941176476</v>
      </c>
      <c r="P106" s="738">
        <f t="shared" si="35"/>
        <v>36246.395294117647</v>
      </c>
      <c r="Q106" s="738">
        <f t="shared" si="35"/>
        <v>6246.3952941176476</v>
      </c>
      <c r="R106" s="738">
        <f t="shared" si="35"/>
        <v>43746.395294117647</v>
      </c>
      <c r="S106" s="738">
        <f t="shared" si="35"/>
        <v>9246.3952941176467</v>
      </c>
      <c r="T106" s="738">
        <f t="shared" si="35"/>
        <v>58746.395294117647</v>
      </c>
      <c r="U106" s="738">
        <f t="shared" si="35"/>
        <v>6246.3952941176476</v>
      </c>
      <c r="V106" s="738">
        <f t="shared" si="35"/>
        <v>81246.395294117669</v>
      </c>
      <c r="W106" s="738">
        <f t="shared" si="35"/>
        <v>6246.3952941176476</v>
      </c>
      <c r="X106" s="845">
        <f t="shared" si="35"/>
        <v>22246.395294117647</v>
      </c>
      <c r="Y106" s="739">
        <f t="shared" si="35"/>
        <v>216174.96672268913</v>
      </c>
      <c r="Z106" s="738">
        <f t="shared" si="35"/>
        <v>45174.966722689074</v>
      </c>
      <c r="AA106" s="738">
        <f t="shared" si="35"/>
        <v>45174.966722689074</v>
      </c>
      <c r="AB106" s="738">
        <f t="shared" si="35"/>
        <v>120174.9667226891</v>
      </c>
      <c r="AC106" s="738">
        <f t="shared" si="35"/>
        <v>150174.96672268913</v>
      </c>
      <c r="AD106" s="738">
        <f t="shared" si="35"/>
        <v>57122.025546218487</v>
      </c>
      <c r="AE106" s="738">
        <f t="shared" si="35"/>
        <v>68122.025546218501</v>
      </c>
      <c r="AF106" s="738">
        <f t="shared" si="35"/>
        <v>7693.4541176470575</v>
      </c>
      <c r="AG106" s="738">
        <f t="shared" si="35"/>
        <v>7693.4541176470575</v>
      </c>
      <c r="AH106" s="738">
        <f t="shared" si="35"/>
        <v>21693.454117647059</v>
      </c>
      <c r="AI106" s="738">
        <f t="shared" si="35"/>
        <v>0</v>
      </c>
      <c r="AJ106" s="853">
        <f t="shared" si="35"/>
        <v>0</v>
      </c>
    </row>
    <row r="107" spans="2:38" ht="15" thickBot="1" x14ac:dyDescent="0.35">
      <c r="M107" s="971">
        <f>+SUM(M106:X106)</f>
        <v>290956.74352941173</v>
      </c>
      <c r="N107" s="972"/>
      <c r="O107" s="972"/>
      <c r="P107" s="972"/>
      <c r="Q107" s="972"/>
      <c r="R107" s="972"/>
      <c r="S107" s="972"/>
      <c r="T107" s="972"/>
      <c r="U107" s="972"/>
      <c r="V107" s="972"/>
      <c r="W107" s="972"/>
      <c r="X107" s="972"/>
      <c r="Y107" s="971">
        <f>+SUM(Y106:AJ106)</f>
        <v>739199.24705882359</v>
      </c>
      <c r="Z107" s="972"/>
      <c r="AA107" s="972"/>
      <c r="AB107" s="972"/>
      <c r="AC107" s="972"/>
      <c r="AD107" s="972"/>
      <c r="AE107" s="972"/>
      <c r="AF107" s="972"/>
      <c r="AG107" s="972"/>
      <c r="AH107" s="972"/>
      <c r="AI107" s="972"/>
      <c r="AJ107" s="973"/>
      <c r="AK107" s="860" t="str">
        <f>IF(SUM(M107:AJ107)=J106,"Si","No")</f>
        <v>Si</v>
      </c>
      <c r="AL107" s="862">
        <f t="shared" ref="AL107" si="36">+SUM(M107:AJ107)</f>
        <v>1030155.9905882353</v>
      </c>
    </row>
    <row r="108" spans="2:38" ht="32.4" customHeight="1" x14ac:dyDescent="0.3">
      <c r="B108" s="416" t="s">
        <v>0</v>
      </c>
      <c r="C108" s="417" t="s">
        <v>6</v>
      </c>
      <c r="D108" s="417" t="s">
        <v>1478</v>
      </c>
      <c r="E108" s="417" t="s">
        <v>1186</v>
      </c>
      <c r="F108" s="417" t="s">
        <v>1517</v>
      </c>
      <c r="G108" s="417"/>
      <c r="H108" s="417" t="s">
        <v>7</v>
      </c>
      <c r="I108" s="417" t="s">
        <v>8</v>
      </c>
      <c r="J108" s="417" t="s">
        <v>1381</v>
      </c>
      <c r="K108" s="417" t="s">
        <v>9</v>
      </c>
      <c r="L108" s="418" t="s">
        <v>10</v>
      </c>
      <c r="M108" s="946"/>
      <c r="N108" s="947"/>
      <c r="O108" s="947"/>
      <c r="P108" s="947"/>
      <c r="Q108" s="947"/>
      <c r="R108" s="947"/>
      <c r="S108" s="947"/>
      <c r="T108" s="947"/>
      <c r="U108" s="947"/>
      <c r="V108" s="947"/>
      <c r="W108" s="947"/>
      <c r="X108" s="948"/>
      <c r="Y108" s="946"/>
      <c r="Z108" s="947"/>
      <c r="AA108" s="947"/>
      <c r="AB108" s="947"/>
      <c r="AC108" s="947"/>
      <c r="AD108" s="947"/>
      <c r="AE108" s="947"/>
      <c r="AF108" s="947"/>
      <c r="AG108" s="947"/>
      <c r="AH108" s="947"/>
      <c r="AI108" s="947"/>
      <c r="AJ108" s="948"/>
    </row>
    <row r="109" spans="2:38" ht="28.8" x14ac:dyDescent="0.3">
      <c r="B109" s="407" t="s">
        <v>197</v>
      </c>
      <c r="C109" s="435" t="s">
        <v>58</v>
      </c>
      <c r="D109" s="435"/>
      <c r="E109" s="435"/>
      <c r="F109" s="925" t="s">
        <v>1516</v>
      </c>
      <c r="G109" s="925"/>
      <c r="H109" s="405" t="s">
        <v>199</v>
      </c>
      <c r="I109" s="406">
        <v>55000</v>
      </c>
      <c r="J109" s="406">
        <v>55000</v>
      </c>
      <c r="K109" s="436">
        <v>46227</v>
      </c>
      <c r="L109" s="421">
        <v>46498</v>
      </c>
      <c r="M109" s="723"/>
      <c r="N109" s="146"/>
      <c r="O109" s="146"/>
      <c r="P109" s="146"/>
      <c r="Q109" s="146"/>
      <c r="R109" s="146"/>
      <c r="S109" s="146"/>
      <c r="T109" s="146"/>
      <c r="U109" s="146"/>
      <c r="V109" s="146"/>
      <c r="W109" s="146"/>
      <c r="X109" s="724"/>
      <c r="Y109" s="850">
        <v>5500</v>
      </c>
      <c r="Z109" s="591">
        <v>5500</v>
      </c>
      <c r="AA109" s="591">
        <v>5500</v>
      </c>
      <c r="AB109" s="591">
        <v>5500</v>
      </c>
      <c r="AC109" s="591">
        <v>5500</v>
      </c>
      <c r="AD109" s="591">
        <v>5500</v>
      </c>
      <c r="AE109" s="591">
        <v>5500</v>
      </c>
      <c r="AF109" s="591">
        <v>5500</v>
      </c>
      <c r="AG109" s="591">
        <v>5500</v>
      </c>
      <c r="AH109" s="591">
        <v>5500</v>
      </c>
      <c r="AI109" s="146"/>
      <c r="AJ109" s="724"/>
      <c r="AK109" s="860" t="str">
        <f t="shared" ref="AK109:AK115" si="37">IF(SUM(M109:AJ109)=J109,"Si","No")</f>
        <v>Si</v>
      </c>
      <c r="AL109" s="862">
        <f t="shared" ref="AL109:AL115" si="38">+SUM(M109:AJ109)</f>
        <v>55000</v>
      </c>
    </row>
    <row r="110" spans="2:38" ht="28.8" x14ac:dyDescent="0.3">
      <c r="B110" s="407" t="s">
        <v>197</v>
      </c>
      <c r="C110" s="435" t="s">
        <v>58</v>
      </c>
      <c r="D110" s="435"/>
      <c r="E110" s="435"/>
      <c r="F110" s="925" t="s">
        <v>1516</v>
      </c>
      <c r="G110" s="925"/>
      <c r="H110" s="405" t="s">
        <v>200</v>
      </c>
      <c r="I110" s="406">
        <v>25000</v>
      </c>
      <c r="J110" s="406">
        <v>25000</v>
      </c>
      <c r="K110" s="436">
        <v>46297</v>
      </c>
      <c r="L110" s="421">
        <v>46537</v>
      </c>
      <c r="M110" s="723"/>
      <c r="N110" s="146"/>
      <c r="O110" s="146"/>
      <c r="P110" s="146"/>
      <c r="Q110" s="146"/>
      <c r="R110" s="146"/>
      <c r="S110" s="146"/>
      <c r="T110" s="146"/>
      <c r="U110" s="146"/>
      <c r="V110" s="710"/>
      <c r="W110" s="710"/>
      <c r="X110" s="712"/>
      <c r="Y110" s="850">
        <v>3125</v>
      </c>
      <c r="Z110" s="591">
        <v>3125</v>
      </c>
      <c r="AA110" s="591">
        <v>3125</v>
      </c>
      <c r="AB110" s="591">
        <v>3125</v>
      </c>
      <c r="AC110" s="591">
        <v>3125</v>
      </c>
      <c r="AD110" s="591">
        <v>3125</v>
      </c>
      <c r="AE110" s="591">
        <v>3125</v>
      </c>
      <c r="AF110" s="591">
        <v>3125</v>
      </c>
      <c r="AG110" s="146"/>
      <c r="AH110" s="146"/>
      <c r="AI110" s="146"/>
      <c r="AJ110" s="724"/>
      <c r="AK110" s="860" t="str">
        <f t="shared" si="37"/>
        <v>Si</v>
      </c>
      <c r="AL110" s="862">
        <f t="shared" si="38"/>
        <v>25000</v>
      </c>
    </row>
    <row r="111" spans="2:38" ht="28.8" x14ac:dyDescent="0.3">
      <c r="B111" s="407" t="s">
        <v>197</v>
      </c>
      <c r="C111" s="435" t="s">
        <v>58</v>
      </c>
      <c r="D111" s="435"/>
      <c r="E111" s="435"/>
      <c r="F111" s="925" t="s">
        <v>1516</v>
      </c>
      <c r="G111" s="925"/>
      <c r="H111" s="405" t="s">
        <v>201</v>
      </c>
      <c r="I111" s="406">
        <v>30000</v>
      </c>
      <c r="J111" s="406">
        <v>30000</v>
      </c>
      <c r="K111" s="436">
        <v>46259</v>
      </c>
      <c r="L111" s="421">
        <v>46532</v>
      </c>
      <c r="M111" s="723"/>
      <c r="N111" s="146"/>
      <c r="O111" s="146"/>
      <c r="P111" s="146"/>
      <c r="Q111" s="146"/>
      <c r="R111" s="146"/>
      <c r="S111" s="146"/>
      <c r="T111" s="146"/>
      <c r="U111" s="146"/>
      <c r="V111" s="146"/>
      <c r="W111" s="146"/>
      <c r="X111" s="724"/>
      <c r="Y111" s="850">
        <v>3000</v>
      </c>
      <c r="Z111" s="591">
        <v>3000</v>
      </c>
      <c r="AA111" s="591">
        <v>3000</v>
      </c>
      <c r="AB111" s="591">
        <v>3000</v>
      </c>
      <c r="AC111" s="591">
        <v>3000</v>
      </c>
      <c r="AD111" s="591">
        <v>3000</v>
      </c>
      <c r="AE111" s="591">
        <v>3000</v>
      </c>
      <c r="AF111" s="591">
        <v>3000</v>
      </c>
      <c r="AG111" s="591">
        <v>3000</v>
      </c>
      <c r="AH111" s="591">
        <v>3000</v>
      </c>
      <c r="AI111" s="146"/>
      <c r="AJ111" s="724"/>
      <c r="AK111" s="860" t="str">
        <f t="shared" si="37"/>
        <v>Si</v>
      </c>
      <c r="AL111" s="862">
        <f t="shared" si="38"/>
        <v>30000</v>
      </c>
    </row>
    <row r="112" spans="2:38" ht="43.2" x14ac:dyDescent="0.3">
      <c r="B112" s="407" t="s">
        <v>197</v>
      </c>
      <c r="C112" s="435" t="s">
        <v>58</v>
      </c>
      <c r="D112" s="435"/>
      <c r="E112" s="435"/>
      <c r="F112" s="924" t="s">
        <v>1515</v>
      </c>
      <c r="G112" s="924"/>
      <c r="H112" s="405" t="s">
        <v>202</v>
      </c>
      <c r="I112" s="406">
        <v>30000</v>
      </c>
      <c r="J112" s="406">
        <v>30000</v>
      </c>
      <c r="K112" s="436">
        <v>46208</v>
      </c>
      <c r="L112" s="421">
        <v>46499</v>
      </c>
      <c r="M112" s="723"/>
      <c r="N112" s="146"/>
      <c r="O112" s="146"/>
      <c r="P112" s="146"/>
      <c r="Q112" s="146"/>
      <c r="R112" s="146"/>
      <c r="S112" s="591">
        <v>6000</v>
      </c>
      <c r="T112" s="591">
        <v>0</v>
      </c>
      <c r="U112" s="591">
        <v>0</v>
      </c>
      <c r="V112" s="591">
        <v>0</v>
      </c>
      <c r="W112" s="591">
        <v>12000</v>
      </c>
      <c r="X112" s="598">
        <v>0</v>
      </c>
      <c r="Y112" s="850">
        <v>0</v>
      </c>
      <c r="Z112" s="591">
        <v>0</v>
      </c>
      <c r="AA112" s="591">
        <v>0</v>
      </c>
      <c r="AB112" s="591">
        <v>12000</v>
      </c>
      <c r="AC112" s="146"/>
      <c r="AD112" s="146"/>
      <c r="AE112" s="146"/>
      <c r="AF112" s="146"/>
      <c r="AG112" s="146"/>
      <c r="AH112" s="146"/>
      <c r="AI112" s="146"/>
      <c r="AJ112" s="724"/>
      <c r="AK112" s="860" t="str">
        <f t="shared" si="37"/>
        <v>Si</v>
      </c>
      <c r="AL112" s="862">
        <f t="shared" si="38"/>
        <v>30000</v>
      </c>
    </row>
    <row r="113" spans="2:38" ht="28.8" x14ac:dyDescent="0.3">
      <c r="B113" s="407" t="s">
        <v>197</v>
      </c>
      <c r="C113" s="435" t="s">
        <v>203</v>
      </c>
      <c r="D113" s="435"/>
      <c r="E113" s="435"/>
      <c r="F113" s="924" t="s">
        <v>1515</v>
      </c>
      <c r="G113" s="924"/>
      <c r="H113" s="405" t="s">
        <v>204</v>
      </c>
      <c r="I113" s="406">
        <v>25000</v>
      </c>
      <c r="J113" s="406">
        <v>25000</v>
      </c>
      <c r="K113" s="436">
        <v>46148</v>
      </c>
      <c r="L113" s="421">
        <v>46328</v>
      </c>
      <c r="M113" s="723"/>
      <c r="N113" s="146"/>
      <c r="O113" s="146"/>
      <c r="P113" s="146"/>
      <c r="Q113" s="591">
        <v>3571.4285714285716</v>
      </c>
      <c r="R113" s="591">
        <v>3571.4285714285716</v>
      </c>
      <c r="S113" s="591">
        <v>3571.4285714285716</v>
      </c>
      <c r="T113" s="591">
        <v>3571.4285714285716</v>
      </c>
      <c r="U113" s="591">
        <v>3571.4285714285716</v>
      </c>
      <c r="V113" s="591">
        <v>3571.4285714285716</v>
      </c>
      <c r="W113" s="591">
        <v>3571.4285714285716</v>
      </c>
      <c r="X113" s="724"/>
      <c r="Y113" s="849"/>
      <c r="Z113" s="146"/>
      <c r="AA113" s="146"/>
      <c r="AB113" s="146"/>
      <c r="AC113" s="146"/>
      <c r="AD113" s="146"/>
      <c r="AE113" s="146"/>
      <c r="AF113" s="146"/>
      <c r="AG113" s="146"/>
      <c r="AH113" s="146"/>
      <c r="AI113" s="146"/>
      <c r="AJ113" s="724"/>
      <c r="AK113" s="860" t="str">
        <f t="shared" si="37"/>
        <v>Si</v>
      </c>
      <c r="AL113" s="862">
        <f t="shared" si="38"/>
        <v>25000.000000000004</v>
      </c>
    </row>
    <row r="114" spans="2:38" ht="28.8" x14ac:dyDescent="0.3">
      <c r="B114" s="407" t="s">
        <v>197</v>
      </c>
      <c r="C114" s="435" t="s">
        <v>58</v>
      </c>
      <c r="D114" s="435"/>
      <c r="E114" s="435"/>
      <c r="F114" s="925" t="s">
        <v>1516</v>
      </c>
      <c r="G114" s="925"/>
      <c r="H114" s="405" t="s">
        <v>205</v>
      </c>
      <c r="I114" s="387">
        <v>280000</v>
      </c>
      <c r="J114" s="387">
        <v>150000</v>
      </c>
      <c r="K114" s="436">
        <v>46178</v>
      </c>
      <c r="L114" s="421">
        <v>46328</v>
      </c>
      <c r="M114" s="723"/>
      <c r="N114" s="146"/>
      <c r="O114" s="146"/>
      <c r="P114" s="146"/>
      <c r="Q114" s="146"/>
      <c r="R114" s="591">
        <v>30000</v>
      </c>
      <c r="S114" s="591">
        <v>0</v>
      </c>
      <c r="T114" s="591">
        <v>45000</v>
      </c>
      <c r="U114" s="591">
        <v>45000</v>
      </c>
      <c r="V114" s="591">
        <v>0</v>
      </c>
      <c r="W114" s="591">
        <v>30000</v>
      </c>
      <c r="X114" s="724"/>
      <c r="Y114" s="849"/>
      <c r="Z114" s="146"/>
      <c r="AA114" s="146"/>
      <c r="AB114" s="146"/>
      <c r="AC114" s="146"/>
      <c r="AD114" s="146"/>
      <c r="AE114" s="146"/>
      <c r="AF114" s="146"/>
      <c r="AG114" s="146"/>
      <c r="AH114" s="146"/>
      <c r="AI114" s="146"/>
      <c r="AJ114" s="724"/>
      <c r="AK114" s="860" t="str">
        <f t="shared" si="37"/>
        <v>Si</v>
      </c>
      <c r="AL114" s="862">
        <f t="shared" si="38"/>
        <v>150000</v>
      </c>
    </row>
    <row r="115" spans="2:38" ht="15" thickBot="1" x14ac:dyDescent="0.35">
      <c r="B115" s="426" t="s">
        <v>197</v>
      </c>
      <c r="C115" s="429" t="s">
        <v>206</v>
      </c>
      <c r="D115" s="429"/>
      <c r="E115" s="429"/>
      <c r="F115" s="429"/>
      <c r="G115" s="429"/>
      <c r="H115" s="427" t="s">
        <v>189</v>
      </c>
      <c r="I115" s="408">
        <v>25000</v>
      </c>
      <c r="J115" s="408">
        <v>25000</v>
      </c>
      <c r="K115" s="447" t="s">
        <v>63</v>
      </c>
      <c r="L115" s="412" t="s">
        <v>63</v>
      </c>
      <c r="M115" s="723"/>
      <c r="N115" s="146"/>
      <c r="O115" s="146"/>
      <c r="P115" s="146"/>
      <c r="Q115" s="591">
        <v>1388.8888888888889</v>
      </c>
      <c r="R115" s="591">
        <v>1388.8888888888889</v>
      </c>
      <c r="S115" s="591">
        <v>1388.8888888888889</v>
      </c>
      <c r="T115" s="591">
        <v>1388.8888888888889</v>
      </c>
      <c r="U115" s="591">
        <v>1388.8888888888889</v>
      </c>
      <c r="V115" s="591">
        <v>1388.8888888888889</v>
      </c>
      <c r="W115" s="591">
        <v>1388.8888888888889</v>
      </c>
      <c r="X115" s="598">
        <v>1388.8888888888889</v>
      </c>
      <c r="Y115" s="850">
        <v>1388.8888888888889</v>
      </c>
      <c r="Z115" s="591">
        <v>1388.8888888888889</v>
      </c>
      <c r="AA115" s="591">
        <v>1388.8888888888889</v>
      </c>
      <c r="AB115" s="591">
        <v>1388.8888888888889</v>
      </c>
      <c r="AC115" s="591">
        <v>1388.8888888888889</v>
      </c>
      <c r="AD115" s="591">
        <v>1388.8888888888889</v>
      </c>
      <c r="AE115" s="591">
        <v>1388.8888888888889</v>
      </c>
      <c r="AF115" s="591">
        <v>1388.8888888888889</v>
      </c>
      <c r="AG115" s="591">
        <v>1388.8888888888889</v>
      </c>
      <c r="AH115" s="591">
        <v>1388.8888888888889</v>
      </c>
      <c r="AI115" s="146"/>
      <c r="AJ115" s="724"/>
      <c r="AK115" s="860" t="str">
        <f t="shared" si="37"/>
        <v>Si</v>
      </c>
      <c r="AL115" s="862">
        <f t="shared" si="38"/>
        <v>25000.000000000011</v>
      </c>
    </row>
    <row r="116" spans="2:38" ht="15" thickBot="1" x14ac:dyDescent="0.35">
      <c r="B116" s="460"/>
      <c r="C116" s="460"/>
      <c r="D116" s="460"/>
      <c r="E116" s="460"/>
      <c r="F116" s="460"/>
      <c r="G116" s="460"/>
      <c r="H116" s="462" t="s">
        <v>26</v>
      </c>
      <c r="I116" s="463">
        <f>SUM(I109:I115)</f>
        <v>470000</v>
      </c>
      <c r="J116" s="463">
        <f>SUM(J109:J115)</f>
        <v>340000</v>
      </c>
      <c r="K116" s="461"/>
      <c r="M116" s="739">
        <f>+SUM(M109:M115)</f>
        <v>0</v>
      </c>
      <c r="N116" s="738">
        <f t="shared" ref="N116:W116" si="39">+SUM(N109:N115)</f>
        <v>0</v>
      </c>
      <c r="O116" s="738">
        <f t="shared" si="39"/>
        <v>0</v>
      </c>
      <c r="P116" s="738">
        <f t="shared" si="39"/>
        <v>0</v>
      </c>
      <c r="Q116" s="738">
        <f t="shared" si="39"/>
        <v>4960.3174603174602</v>
      </c>
      <c r="R116" s="738">
        <f t="shared" si="39"/>
        <v>34960.317460317463</v>
      </c>
      <c r="S116" s="738">
        <f t="shared" si="39"/>
        <v>10960.317460317461</v>
      </c>
      <c r="T116" s="738">
        <f t="shared" si="39"/>
        <v>49960.317460317463</v>
      </c>
      <c r="U116" s="738">
        <f t="shared" si="39"/>
        <v>49960.317460317463</v>
      </c>
      <c r="V116" s="738">
        <f t="shared" si="39"/>
        <v>4960.3174603174602</v>
      </c>
      <c r="W116" s="738">
        <f t="shared" si="39"/>
        <v>46960.317460317463</v>
      </c>
      <c r="X116" s="853">
        <f>+SUM(X109:X115)</f>
        <v>1388.8888888888889</v>
      </c>
      <c r="Y116" s="739">
        <f>+SUM(Y109:Y115)</f>
        <v>13013.888888888889</v>
      </c>
      <c r="Z116" s="738">
        <f t="shared" ref="Z116:AJ116" si="40">+SUM(Z109:Z115)</f>
        <v>13013.888888888889</v>
      </c>
      <c r="AA116" s="738">
        <f t="shared" si="40"/>
        <v>13013.888888888889</v>
      </c>
      <c r="AB116" s="738">
        <f t="shared" si="40"/>
        <v>25013.888888888891</v>
      </c>
      <c r="AC116" s="738">
        <f t="shared" si="40"/>
        <v>13013.888888888889</v>
      </c>
      <c r="AD116" s="738">
        <f t="shared" si="40"/>
        <v>13013.888888888889</v>
      </c>
      <c r="AE116" s="738">
        <f t="shared" si="40"/>
        <v>13013.888888888889</v>
      </c>
      <c r="AF116" s="738">
        <f t="shared" si="40"/>
        <v>13013.888888888889</v>
      </c>
      <c r="AG116" s="738">
        <f t="shared" si="40"/>
        <v>9888.8888888888887</v>
      </c>
      <c r="AH116" s="738">
        <f t="shared" si="40"/>
        <v>9888.8888888888887</v>
      </c>
      <c r="AI116" s="738">
        <f t="shared" si="40"/>
        <v>0</v>
      </c>
      <c r="AJ116" s="853">
        <f t="shared" si="40"/>
        <v>0</v>
      </c>
    </row>
    <row r="117" spans="2:38" ht="15" thickBot="1" x14ac:dyDescent="0.35">
      <c r="M117" s="971">
        <f>+SUM(M116:X116)</f>
        <v>204111.11111111109</v>
      </c>
      <c r="N117" s="972"/>
      <c r="O117" s="972"/>
      <c r="P117" s="972"/>
      <c r="Q117" s="972"/>
      <c r="R117" s="972"/>
      <c r="S117" s="972"/>
      <c r="T117" s="972"/>
      <c r="U117" s="972"/>
      <c r="V117" s="972"/>
      <c r="W117" s="972"/>
      <c r="X117" s="973"/>
      <c r="Y117" s="971">
        <f>+SUM(Y116:AJ116)</f>
        <v>135888.88888888888</v>
      </c>
      <c r="Z117" s="972"/>
      <c r="AA117" s="972"/>
      <c r="AB117" s="972"/>
      <c r="AC117" s="972"/>
      <c r="AD117" s="972"/>
      <c r="AE117" s="972"/>
      <c r="AF117" s="972"/>
      <c r="AG117" s="972"/>
      <c r="AH117" s="972"/>
      <c r="AI117" s="972"/>
      <c r="AJ117" s="973"/>
      <c r="AK117" s="860" t="str">
        <f>IF(SUM(M117:AJ117)=J116,"Si","No")</f>
        <v>Si</v>
      </c>
      <c r="AL117" s="862">
        <f t="shared" ref="AL117" si="41">+SUM(M117:AJ117)</f>
        <v>340000</v>
      </c>
    </row>
    <row r="118" spans="2:38" ht="36" customHeight="1" x14ac:dyDescent="0.3">
      <c r="B118" s="416" t="s">
        <v>0</v>
      </c>
      <c r="C118" s="417" t="s">
        <v>6</v>
      </c>
      <c r="D118" s="417" t="s">
        <v>1478</v>
      </c>
      <c r="E118" s="417" t="s">
        <v>1186</v>
      </c>
      <c r="F118" s="417" t="s">
        <v>1517</v>
      </c>
      <c r="G118" s="417"/>
      <c r="H118" s="417" t="s">
        <v>7</v>
      </c>
      <c r="I118" s="417" t="s">
        <v>8</v>
      </c>
      <c r="J118" s="417" t="s">
        <v>1381</v>
      </c>
      <c r="K118" s="417" t="s">
        <v>9</v>
      </c>
      <c r="L118" s="589" t="s">
        <v>10</v>
      </c>
      <c r="M118" s="968"/>
      <c r="N118" s="969"/>
      <c r="O118" s="969"/>
      <c r="P118" s="969"/>
      <c r="Q118" s="969"/>
      <c r="R118" s="969"/>
      <c r="S118" s="969"/>
      <c r="T118" s="969"/>
      <c r="U118" s="969"/>
      <c r="V118" s="969"/>
      <c r="W118" s="969"/>
      <c r="X118" s="970"/>
      <c r="Y118" s="969"/>
      <c r="Z118" s="969"/>
      <c r="AA118" s="969"/>
      <c r="AB118" s="969"/>
      <c r="AC118" s="969"/>
      <c r="AD118" s="969"/>
      <c r="AE118" s="969"/>
      <c r="AF118" s="969"/>
      <c r="AG118" s="969"/>
      <c r="AH118" s="969"/>
      <c r="AI118" s="969"/>
      <c r="AJ118" s="970"/>
    </row>
    <row r="119" spans="2:38" ht="28.8" x14ac:dyDescent="0.3">
      <c r="B119" s="435" t="s">
        <v>1489</v>
      </c>
      <c r="C119" s="160"/>
      <c r="D119" s="160"/>
      <c r="E119" s="160"/>
      <c r="F119" s="160"/>
      <c r="G119" s="160"/>
      <c r="H119" s="515" t="s">
        <v>1490</v>
      </c>
      <c r="I119" s="406">
        <v>3500</v>
      </c>
      <c r="J119" s="406">
        <v>3500</v>
      </c>
      <c r="K119" s="36">
        <v>46082</v>
      </c>
      <c r="L119" s="901">
        <v>46112</v>
      </c>
      <c r="M119" s="723"/>
      <c r="N119" s="146"/>
      <c r="O119" s="591">
        <v>3500</v>
      </c>
      <c r="P119" s="146"/>
      <c r="Q119" s="146"/>
      <c r="R119" s="146"/>
      <c r="S119" s="146"/>
      <c r="T119" s="146"/>
      <c r="U119" s="146"/>
      <c r="V119" s="146"/>
      <c r="W119" s="146"/>
      <c r="X119" s="724"/>
      <c r="Y119" s="849"/>
      <c r="Z119" s="146"/>
      <c r="AA119" s="146"/>
      <c r="AB119" s="146"/>
      <c r="AC119" s="146"/>
      <c r="AD119" s="146"/>
      <c r="AE119" s="146"/>
      <c r="AF119" s="146"/>
      <c r="AG119" s="146"/>
      <c r="AH119" s="146"/>
      <c r="AI119" s="146"/>
      <c r="AJ119" s="724"/>
      <c r="AK119" s="860" t="str">
        <f t="shared" ref="AK119" si="42">IF(SUM(M119:AJ119)=J119,"Si","No")</f>
        <v>Si</v>
      </c>
      <c r="AL119" s="862">
        <f t="shared" ref="AL119" si="43">+SUM(M119:AJ119)</f>
        <v>3500</v>
      </c>
    </row>
    <row r="120" spans="2:38" ht="15" thickBot="1" x14ac:dyDescent="0.35">
      <c r="B120" s="460"/>
      <c r="H120" s="513" t="s">
        <v>26</v>
      </c>
      <c r="I120" s="514">
        <f>+SUM(I119)</f>
        <v>3500</v>
      </c>
      <c r="J120" s="514">
        <f>+SUM(J119)</f>
        <v>3500</v>
      </c>
      <c r="M120" s="739">
        <f>SUM(M119)</f>
        <v>0</v>
      </c>
      <c r="N120" s="738">
        <f t="shared" ref="N120:AJ120" si="44">SUM(N119)</f>
        <v>0</v>
      </c>
      <c r="O120" s="738">
        <f t="shared" si="44"/>
        <v>3500</v>
      </c>
      <c r="P120" s="738">
        <f t="shared" si="44"/>
        <v>0</v>
      </c>
      <c r="Q120" s="738">
        <f t="shared" si="44"/>
        <v>0</v>
      </c>
      <c r="R120" s="738">
        <f t="shared" si="44"/>
        <v>0</v>
      </c>
      <c r="S120" s="738">
        <f t="shared" si="44"/>
        <v>0</v>
      </c>
      <c r="T120" s="738">
        <f t="shared" si="44"/>
        <v>0</v>
      </c>
      <c r="U120" s="738">
        <f t="shared" si="44"/>
        <v>0</v>
      </c>
      <c r="V120" s="738">
        <f t="shared" si="44"/>
        <v>0</v>
      </c>
      <c r="W120" s="738">
        <f t="shared" si="44"/>
        <v>0</v>
      </c>
      <c r="X120" s="853">
        <f t="shared" si="44"/>
        <v>0</v>
      </c>
      <c r="Y120" s="844">
        <f t="shared" si="44"/>
        <v>0</v>
      </c>
      <c r="Z120" s="738">
        <f t="shared" si="44"/>
        <v>0</v>
      </c>
      <c r="AA120" s="738">
        <f t="shared" si="44"/>
        <v>0</v>
      </c>
      <c r="AB120" s="738">
        <f t="shared" si="44"/>
        <v>0</v>
      </c>
      <c r="AC120" s="738">
        <f t="shared" si="44"/>
        <v>0</v>
      </c>
      <c r="AD120" s="738">
        <f t="shared" si="44"/>
        <v>0</v>
      </c>
      <c r="AE120" s="738">
        <f t="shared" si="44"/>
        <v>0</v>
      </c>
      <c r="AF120" s="738">
        <f t="shared" si="44"/>
        <v>0</v>
      </c>
      <c r="AG120" s="738">
        <f t="shared" si="44"/>
        <v>0</v>
      </c>
      <c r="AH120" s="738">
        <f t="shared" si="44"/>
        <v>0</v>
      </c>
      <c r="AI120" s="738">
        <f t="shared" si="44"/>
        <v>0</v>
      </c>
      <c r="AJ120" s="853">
        <f t="shared" si="44"/>
        <v>0</v>
      </c>
    </row>
    <row r="121" spans="2:38" ht="15" thickBot="1" x14ac:dyDescent="0.35">
      <c r="M121" s="971">
        <f>+SUM(M120:X120)</f>
        <v>3500</v>
      </c>
      <c r="N121" s="972"/>
      <c r="O121" s="972"/>
      <c r="P121" s="972"/>
      <c r="Q121" s="972"/>
      <c r="R121" s="972"/>
      <c r="S121" s="972"/>
      <c r="T121" s="972"/>
      <c r="U121" s="972"/>
      <c r="V121" s="972"/>
      <c r="W121" s="972"/>
      <c r="X121" s="973"/>
      <c r="Y121" s="972">
        <f>+SUM(Y120:AJ120)</f>
        <v>0</v>
      </c>
      <c r="Z121" s="972"/>
      <c r="AA121" s="972"/>
      <c r="AB121" s="972"/>
      <c r="AC121" s="972"/>
      <c r="AD121" s="972"/>
      <c r="AE121" s="972"/>
      <c r="AF121" s="972"/>
      <c r="AG121" s="972"/>
      <c r="AH121" s="972"/>
      <c r="AI121" s="972"/>
      <c r="AJ121" s="973"/>
      <c r="AK121" s="860" t="str">
        <f>IF(SUM(M121:AJ121)=J119,"Si","No")</f>
        <v>Si</v>
      </c>
      <c r="AL121" s="862">
        <f t="shared" ref="AL121" si="45">+SUM(M121:AJ121)</f>
        <v>3500</v>
      </c>
    </row>
    <row r="122" spans="2:38" ht="41.4" customHeight="1" x14ac:dyDescent="0.3">
      <c r="B122" s="416" t="s">
        <v>0</v>
      </c>
      <c r="C122" s="417" t="s">
        <v>6</v>
      </c>
      <c r="D122" s="417" t="s">
        <v>1478</v>
      </c>
      <c r="E122" s="417" t="s">
        <v>1186</v>
      </c>
      <c r="F122" s="417" t="s">
        <v>1517</v>
      </c>
      <c r="G122" s="417"/>
      <c r="H122" s="417" t="s">
        <v>7</v>
      </c>
      <c r="I122" s="417" t="s">
        <v>8</v>
      </c>
      <c r="J122" s="417" t="s">
        <v>1381</v>
      </c>
      <c r="K122" s="417" t="s">
        <v>9</v>
      </c>
      <c r="L122" s="418" t="s">
        <v>10</v>
      </c>
      <c r="M122" s="946"/>
      <c r="N122" s="947"/>
      <c r="O122" s="947"/>
      <c r="P122" s="947"/>
      <c r="Q122" s="947"/>
      <c r="R122" s="947"/>
      <c r="S122" s="947"/>
      <c r="T122" s="947"/>
      <c r="U122" s="947"/>
      <c r="V122" s="947"/>
      <c r="W122" s="947"/>
      <c r="X122" s="948"/>
      <c r="Y122" s="946"/>
      <c r="Z122" s="947"/>
      <c r="AA122" s="947"/>
      <c r="AB122" s="947"/>
      <c r="AC122" s="947"/>
      <c r="AD122" s="947"/>
      <c r="AE122" s="947"/>
      <c r="AF122" s="947"/>
      <c r="AG122" s="947"/>
      <c r="AH122" s="947"/>
      <c r="AI122" s="947"/>
      <c r="AJ122" s="948"/>
    </row>
    <row r="123" spans="2:38" ht="57.6" x14ac:dyDescent="0.3">
      <c r="B123" s="407" t="s">
        <v>207</v>
      </c>
      <c r="C123" s="435" t="s">
        <v>209</v>
      </c>
      <c r="D123" s="435"/>
      <c r="E123" s="435"/>
      <c r="F123" s="924" t="s">
        <v>1515</v>
      </c>
      <c r="G123" s="924"/>
      <c r="H123" s="405" t="s">
        <v>210</v>
      </c>
      <c r="I123" s="406">
        <v>350000</v>
      </c>
      <c r="J123" s="406">
        <v>350000</v>
      </c>
      <c r="K123" s="436">
        <v>46032</v>
      </c>
      <c r="L123" s="421">
        <v>46092</v>
      </c>
      <c r="M123" s="723"/>
      <c r="N123" s="146"/>
      <c r="O123" s="146"/>
      <c r="P123" s="146"/>
      <c r="Q123" s="146"/>
      <c r="R123" s="146"/>
      <c r="S123" s="146"/>
      <c r="T123" s="146"/>
      <c r="U123" s="146"/>
      <c r="V123" s="146"/>
      <c r="W123" s="146"/>
      <c r="X123" s="724"/>
      <c r="Y123" s="850">
        <v>116666.66666666667</v>
      </c>
      <c r="Z123" s="591">
        <v>116666.66666666667</v>
      </c>
      <c r="AA123" s="591">
        <v>116666.66666666667</v>
      </c>
      <c r="AB123" s="146"/>
      <c r="AC123" s="146"/>
      <c r="AD123" s="146"/>
      <c r="AE123" s="146"/>
      <c r="AF123" s="146"/>
      <c r="AG123" s="146"/>
      <c r="AH123" s="146"/>
      <c r="AI123" s="146"/>
      <c r="AJ123" s="724"/>
      <c r="AK123" s="860" t="str">
        <f t="shared" ref="AK123:AK131" si="46">IF(SUM(M123:AJ123)=J123,"Si","No")</f>
        <v>Si</v>
      </c>
      <c r="AL123" s="862">
        <f t="shared" ref="AL123:AL131" si="47">+SUM(M123:AJ123)</f>
        <v>350000</v>
      </c>
    </row>
    <row r="124" spans="2:38" ht="28.8" x14ac:dyDescent="0.3">
      <c r="B124" s="407" t="s">
        <v>207</v>
      </c>
      <c r="C124" s="435" t="s">
        <v>211</v>
      </c>
      <c r="D124" s="435"/>
      <c r="E124" s="435"/>
      <c r="F124" s="924" t="s">
        <v>1515</v>
      </c>
      <c r="G124" s="924"/>
      <c r="H124" s="405" t="s">
        <v>212</v>
      </c>
      <c r="I124" s="406">
        <v>350000</v>
      </c>
      <c r="J124" s="406">
        <v>350000</v>
      </c>
      <c r="K124" s="436">
        <v>46080</v>
      </c>
      <c r="L124" s="421">
        <v>46260</v>
      </c>
      <c r="M124" s="723"/>
      <c r="N124" s="591">
        <v>50000</v>
      </c>
      <c r="O124" s="591">
        <v>50000</v>
      </c>
      <c r="P124" s="591">
        <v>50000</v>
      </c>
      <c r="Q124" s="591">
        <v>50000</v>
      </c>
      <c r="R124" s="591">
        <v>50000</v>
      </c>
      <c r="S124" s="591">
        <v>50000</v>
      </c>
      <c r="T124" s="591">
        <v>50000</v>
      </c>
      <c r="U124" s="146"/>
      <c r="V124" s="146"/>
      <c r="W124" s="146"/>
      <c r="X124" s="724"/>
      <c r="Y124" s="849"/>
      <c r="Z124" s="146"/>
      <c r="AA124" s="146"/>
      <c r="AB124" s="146"/>
      <c r="AC124" s="146"/>
      <c r="AD124" s="146"/>
      <c r="AE124" s="146"/>
      <c r="AF124" s="146"/>
      <c r="AG124" s="146"/>
      <c r="AH124" s="146"/>
      <c r="AI124" s="146"/>
      <c r="AJ124" s="724"/>
      <c r="AK124" s="860" t="str">
        <f t="shared" si="46"/>
        <v>Si</v>
      </c>
      <c r="AL124" s="862">
        <f t="shared" si="47"/>
        <v>350000</v>
      </c>
    </row>
    <row r="125" spans="2:38" x14ac:dyDescent="0.3">
      <c r="B125" s="407" t="s">
        <v>207</v>
      </c>
      <c r="C125" s="435" t="s">
        <v>213</v>
      </c>
      <c r="D125" s="435"/>
      <c r="E125" s="435"/>
      <c r="F125" s="925" t="s">
        <v>1516</v>
      </c>
      <c r="G125" s="925"/>
      <c r="H125" s="405" t="s">
        <v>214</v>
      </c>
      <c r="I125" s="406">
        <v>163000</v>
      </c>
      <c r="J125" s="406">
        <v>100000</v>
      </c>
      <c r="K125" s="436">
        <v>46025</v>
      </c>
      <c r="L125" s="421">
        <v>46386</v>
      </c>
      <c r="M125" s="711"/>
      <c r="N125" s="710"/>
      <c r="O125" s="710"/>
      <c r="P125" s="710"/>
      <c r="Q125" s="710"/>
      <c r="R125" s="710"/>
      <c r="S125" s="710"/>
      <c r="T125" s="710"/>
      <c r="U125" s="710"/>
      <c r="V125" s="710"/>
      <c r="W125" s="710"/>
      <c r="X125" s="712"/>
      <c r="Y125" s="850">
        <v>8333.3333333333339</v>
      </c>
      <c r="Z125" s="591">
        <v>8333.3333333333339</v>
      </c>
      <c r="AA125" s="591">
        <v>8333.3333333333339</v>
      </c>
      <c r="AB125" s="591">
        <v>8333.3333333333339</v>
      </c>
      <c r="AC125" s="591">
        <v>8333.3333333333339</v>
      </c>
      <c r="AD125" s="591">
        <v>8333.3333333333339</v>
      </c>
      <c r="AE125" s="591">
        <v>8333.3333333333339</v>
      </c>
      <c r="AF125" s="591">
        <v>8333.3333333333339</v>
      </c>
      <c r="AG125" s="591">
        <v>8333.3333333333339</v>
      </c>
      <c r="AH125" s="591">
        <v>8333.3333333333339</v>
      </c>
      <c r="AI125" s="591">
        <v>8333.3333333333339</v>
      </c>
      <c r="AJ125" s="598">
        <v>8333.3333333333339</v>
      </c>
      <c r="AK125" s="860" t="str">
        <f t="shared" si="46"/>
        <v>Si</v>
      </c>
      <c r="AL125" s="862">
        <f t="shared" si="47"/>
        <v>99999.999999999985</v>
      </c>
    </row>
    <row r="126" spans="2:38" ht="28.8" x14ac:dyDescent="0.3">
      <c r="B126" s="407" t="s">
        <v>207</v>
      </c>
      <c r="C126" s="435" t="s">
        <v>211</v>
      </c>
      <c r="D126" s="435"/>
      <c r="E126" s="435"/>
      <c r="F126" s="925" t="s">
        <v>1516</v>
      </c>
      <c r="G126" s="925"/>
      <c r="H126" s="405" t="s">
        <v>215</v>
      </c>
      <c r="I126" s="406">
        <v>200000</v>
      </c>
      <c r="J126" s="406">
        <v>125000</v>
      </c>
      <c r="K126" s="436">
        <v>46392</v>
      </c>
      <c r="L126" s="421">
        <v>46540</v>
      </c>
      <c r="M126" s="723"/>
      <c r="N126" s="146"/>
      <c r="O126" s="146"/>
      <c r="P126" s="146"/>
      <c r="Q126" s="146"/>
      <c r="R126" s="146"/>
      <c r="S126" s="146"/>
      <c r="T126" s="146"/>
      <c r="U126" s="146"/>
      <c r="V126" s="146"/>
      <c r="W126" s="146"/>
      <c r="X126" s="724"/>
      <c r="Y126" s="591">
        <v>17857.142857142859</v>
      </c>
      <c r="Z126" s="591">
        <v>17857.142857142859</v>
      </c>
      <c r="AA126" s="591">
        <v>17857.142857142859</v>
      </c>
      <c r="AB126" s="591">
        <v>17857.142857142859</v>
      </c>
      <c r="AC126" s="591">
        <v>17857.142857142859</v>
      </c>
      <c r="AD126" s="591">
        <v>17857.142857142859</v>
      </c>
      <c r="AE126" s="591">
        <v>17857.142857142859</v>
      </c>
      <c r="AF126" s="710"/>
      <c r="AG126" s="710"/>
      <c r="AH126" s="146"/>
      <c r="AI126" s="146"/>
      <c r="AJ126" s="724"/>
      <c r="AK126" s="860" t="str">
        <f t="shared" si="46"/>
        <v>Si</v>
      </c>
      <c r="AL126" s="862">
        <f t="shared" si="47"/>
        <v>125000</v>
      </c>
    </row>
    <row r="127" spans="2:38" x14ac:dyDescent="0.3">
      <c r="B127" s="407" t="s">
        <v>207</v>
      </c>
      <c r="C127" s="435" t="s">
        <v>209</v>
      </c>
      <c r="D127" s="435"/>
      <c r="E127" s="435"/>
      <c r="F127" s="435" t="s">
        <v>1518</v>
      </c>
      <c r="G127" s="435"/>
      <c r="H127" s="405" t="s">
        <v>191</v>
      </c>
      <c r="I127" s="406">
        <v>3500</v>
      </c>
      <c r="J127" s="406">
        <v>3500</v>
      </c>
      <c r="K127" s="436" t="s">
        <v>63</v>
      </c>
      <c r="L127" s="411" t="s">
        <v>63</v>
      </c>
      <c r="M127" s="597">
        <v>291.66666666666669</v>
      </c>
      <c r="N127" s="591">
        <v>291.66666666666669</v>
      </c>
      <c r="O127" s="591">
        <v>291.66666666666669</v>
      </c>
      <c r="P127" s="591">
        <v>291.66666666666669</v>
      </c>
      <c r="Q127" s="591">
        <v>291.66666666666669</v>
      </c>
      <c r="R127" s="591">
        <v>291.66666666666669</v>
      </c>
      <c r="S127" s="591">
        <v>291.66666666666669</v>
      </c>
      <c r="T127" s="591">
        <v>291.66666666666669</v>
      </c>
      <c r="U127" s="591">
        <v>291.66666666666669</v>
      </c>
      <c r="V127" s="591">
        <v>291.66666666666669</v>
      </c>
      <c r="W127" s="591">
        <v>291.66666666666669</v>
      </c>
      <c r="X127" s="598">
        <v>291.66666666666669</v>
      </c>
      <c r="Y127" s="849"/>
      <c r="Z127" s="146"/>
      <c r="AA127" s="146"/>
      <c r="AB127" s="146"/>
      <c r="AC127" s="146"/>
      <c r="AD127" s="146"/>
      <c r="AE127" s="146"/>
      <c r="AF127" s="146"/>
      <c r="AG127" s="146"/>
      <c r="AH127" s="146"/>
      <c r="AI127" s="146"/>
      <c r="AJ127" s="724"/>
      <c r="AK127" s="860" t="str">
        <f t="shared" si="46"/>
        <v>Si</v>
      </c>
      <c r="AL127" s="862">
        <f t="shared" si="47"/>
        <v>3499.9999999999995</v>
      </c>
    </row>
    <row r="128" spans="2:38" x14ac:dyDescent="0.3">
      <c r="B128" s="407" t="s">
        <v>207</v>
      </c>
      <c r="C128" s="435" t="s">
        <v>216</v>
      </c>
      <c r="D128" s="435"/>
      <c r="E128" s="435"/>
      <c r="F128" s="435" t="s">
        <v>1518</v>
      </c>
      <c r="G128" s="435"/>
      <c r="H128" s="405" t="s">
        <v>189</v>
      </c>
      <c r="I128" s="387">
        <v>15000</v>
      </c>
      <c r="J128" s="387">
        <v>15000</v>
      </c>
      <c r="K128" s="436" t="s">
        <v>63</v>
      </c>
      <c r="L128" s="411" t="s">
        <v>63</v>
      </c>
      <c r="M128" s="597">
        <v>1250</v>
      </c>
      <c r="N128" s="591">
        <v>1250</v>
      </c>
      <c r="O128" s="591">
        <v>1250</v>
      </c>
      <c r="P128" s="591">
        <v>1250</v>
      </c>
      <c r="Q128" s="591">
        <v>1250</v>
      </c>
      <c r="R128" s="591">
        <v>1250</v>
      </c>
      <c r="S128" s="591">
        <v>1250</v>
      </c>
      <c r="T128" s="591">
        <v>1250</v>
      </c>
      <c r="U128" s="591">
        <v>1250</v>
      </c>
      <c r="V128" s="591">
        <v>1250</v>
      </c>
      <c r="W128" s="591">
        <v>1250</v>
      </c>
      <c r="X128" s="598">
        <v>1250</v>
      </c>
      <c r="Y128" s="849"/>
      <c r="Z128" s="146"/>
      <c r="AA128" s="146"/>
      <c r="AB128" s="146"/>
      <c r="AC128" s="146"/>
      <c r="AD128" s="146"/>
      <c r="AE128" s="146"/>
      <c r="AF128" s="146"/>
      <c r="AG128" s="146"/>
      <c r="AH128" s="146"/>
      <c r="AI128" s="146"/>
      <c r="AJ128" s="724"/>
      <c r="AK128" s="860" t="str">
        <f t="shared" si="46"/>
        <v>Si</v>
      </c>
      <c r="AL128" s="862">
        <f t="shared" si="47"/>
        <v>15000</v>
      </c>
    </row>
    <row r="129" spans="2:38" x14ac:dyDescent="0.3">
      <c r="B129" s="407" t="s">
        <v>207</v>
      </c>
      <c r="C129" s="435" t="s">
        <v>217</v>
      </c>
      <c r="D129" s="435"/>
      <c r="E129" s="435"/>
      <c r="F129" s="435" t="s">
        <v>1518</v>
      </c>
      <c r="G129" s="435"/>
      <c r="H129" s="405" t="s">
        <v>187</v>
      </c>
      <c r="I129" s="387">
        <v>4200</v>
      </c>
      <c r="J129" s="387">
        <v>4200</v>
      </c>
      <c r="K129" s="436" t="s">
        <v>63</v>
      </c>
      <c r="L129" s="411" t="s">
        <v>63</v>
      </c>
      <c r="M129" s="597">
        <v>350</v>
      </c>
      <c r="N129" s="591">
        <v>350</v>
      </c>
      <c r="O129" s="591">
        <v>350</v>
      </c>
      <c r="P129" s="591">
        <v>350</v>
      </c>
      <c r="Q129" s="591">
        <v>350</v>
      </c>
      <c r="R129" s="591">
        <v>350</v>
      </c>
      <c r="S129" s="591">
        <v>350</v>
      </c>
      <c r="T129" s="591">
        <v>350</v>
      </c>
      <c r="U129" s="591">
        <v>350</v>
      </c>
      <c r="V129" s="591">
        <v>350</v>
      </c>
      <c r="W129" s="591">
        <v>350</v>
      </c>
      <c r="X129" s="598">
        <v>350</v>
      </c>
      <c r="Y129" s="849"/>
      <c r="Z129" s="146"/>
      <c r="AA129" s="146"/>
      <c r="AB129" s="146"/>
      <c r="AC129" s="146"/>
      <c r="AD129" s="146"/>
      <c r="AE129" s="146"/>
      <c r="AF129" s="146"/>
      <c r="AG129" s="146"/>
      <c r="AH129" s="146"/>
      <c r="AI129" s="146"/>
      <c r="AJ129" s="724"/>
      <c r="AK129" s="860" t="str">
        <f t="shared" si="46"/>
        <v>Si</v>
      </c>
      <c r="AL129" s="862">
        <f t="shared" si="47"/>
        <v>4200</v>
      </c>
    </row>
    <row r="130" spans="2:38" x14ac:dyDescent="0.3">
      <c r="B130" s="407" t="s">
        <v>207</v>
      </c>
      <c r="C130" s="435" t="s">
        <v>218</v>
      </c>
      <c r="D130" s="435"/>
      <c r="E130" s="435"/>
      <c r="F130" s="435" t="s">
        <v>1518</v>
      </c>
      <c r="G130" s="435"/>
      <c r="H130" s="405" t="s">
        <v>111</v>
      </c>
      <c r="I130" s="387">
        <v>24000</v>
      </c>
      <c r="J130" s="387">
        <v>15000</v>
      </c>
      <c r="K130" s="436" t="s">
        <v>63</v>
      </c>
      <c r="L130" s="411" t="s">
        <v>63</v>
      </c>
      <c r="M130" s="597">
        <v>1250</v>
      </c>
      <c r="N130" s="591">
        <v>1250</v>
      </c>
      <c r="O130" s="591">
        <v>1250</v>
      </c>
      <c r="P130" s="591">
        <v>1250</v>
      </c>
      <c r="Q130" s="591">
        <v>1250</v>
      </c>
      <c r="R130" s="591">
        <v>1250</v>
      </c>
      <c r="S130" s="591">
        <v>1250</v>
      </c>
      <c r="T130" s="591">
        <v>1250</v>
      </c>
      <c r="U130" s="591">
        <v>1250</v>
      </c>
      <c r="V130" s="591">
        <v>1250</v>
      </c>
      <c r="W130" s="591">
        <v>1250</v>
      </c>
      <c r="X130" s="598">
        <v>1250</v>
      </c>
      <c r="Y130" s="849"/>
      <c r="Z130" s="146"/>
      <c r="AA130" s="146"/>
      <c r="AB130" s="146"/>
      <c r="AC130" s="146"/>
      <c r="AD130" s="146"/>
      <c r="AE130" s="146"/>
      <c r="AF130" s="146"/>
      <c r="AG130" s="146"/>
      <c r="AH130" s="146"/>
      <c r="AI130" s="146"/>
      <c r="AJ130" s="724"/>
      <c r="AK130" s="860" t="str">
        <f t="shared" si="46"/>
        <v>Si</v>
      </c>
      <c r="AL130" s="862">
        <f t="shared" si="47"/>
        <v>15000</v>
      </c>
    </row>
    <row r="131" spans="2:38" ht="31.95" customHeight="1" thickBot="1" x14ac:dyDescent="0.35">
      <c r="B131" s="426" t="s">
        <v>207</v>
      </c>
      <c r="C131" s="429" t="s">
        <v>219</v>
      </c>
      <c r="D131" s="429"/>
      <c r="E131" s="429"/>
      <c r="F131" s="429" t="s">
        <v>1518</v>
      </c>
      <c r="G131" s="429"/>
      <c r="H131" s="427" t="s">
        <v>220</v>
      </c>
      <c r="I131" s="408">
        <v>900</v>
      </c>
      <c r="J131" s="408">
        <v>900</v>
      </c>
      <c r="K131" s="440" t="s">
        <v>63</v>
      </c>
      <c r="L131" s="412" t="s">
        <v>63</v>
      </c>
      <c r="M131" s="597">
        <v>75</v>
      </c>
      <c r="N131" s="591">
        <v>75</v>
      </c>
      <c r="O131" s="591">
        <v>75</v>
      </c>
      <c r="P131" s="591">
        <v>75</v>
      </c>
      <c r="Q131" s="591">
        <v>75</v>
      </c>
      <c r="R131" s="591">
        <v>75</v>
      </c>
      <c r="S131" s="591">
        <v>75</v>
      </c>
      <c r="T131" s="591">
        <v>75</v>
      </c>
      <c r="U131" s="591">
        <v>75</v>
      </c>
      <c r="V131" s="591">
        <v>75</v>
      </c>
      <c r="W131" s="591">
        <v>75</v>
      </c>
      <c r="X131" s="598">
        <v>75</v>
      </c>
      <c r="Y131" s="849"/>
      <c r="Z131" s="146"/>
      <c r="AA131" s="146"/>
      <c r="AB131" s="146"/>
      <c r="AC131" s="146"/>
      <c r="AD131" s="146"/>
      <c r="AE131" s="146"/>
      <c r="AF131" s="146"/>
      <c r="AG131" s="146"/>
      <c r="AH131" s="146"/>
      <c r="AI131" s="146"/>
      <c r="AJ131" s="724"/>
      <c r="AK131" s="860" t="str">
        <f t="shared" si="46"/>
        <v>Si</v>
      </c>
      <c r="AL131" s="862">
        <f t="shared" si="47"/>
        <v>900</v>
      </c>
    </row>
    <row r="132" spans="2:38" ht="15" thickBot="1" x14ac:dyDescent="0.35">
      <c r="B132" s="460"/>
      <c r="C132" s="460"/>
      <c r="D132" s="460"/>
      <c r="E132" s="460"/>
      <c r="F132" s="460"/>
      <c r="G132" s="460"/>
      <c r="H132" s="462" t="s">
        <v>26</v>
      </c>
      <c r="I132" s="463">
        <f>SUM(I123:I131)</f>
        <v>1110600</v>
      </c>
      <c r="J132" s="463">
        <f>SUM(J123:J131)</f>
        <v>963600</v>
      </c>
      <c r="K132" s="466"/>
      <c r="M132" s="739">
        <f>+SUM(M123:M131)</f>
        <v>3216.666666666667</v>
      </c>
      <c r="N132" s="738">
        <f t="shared" ref="N132:X132" si="48">+SUM(N123:N131)</f>
        <v>53216.666666666664</v>
      </c>
      <c r="O132" s="738">
        <f t="shared" si="48"/>
        <v>53216.666666666664</v>
      </c>
      <c r="P132" s="738">
        <f t="shared" si="48"/>
        <v>53216.666666666664</v>
      </c>
      <c r="Q132" s="738">
        <f t="shared" si="48"/>
        <v>53216.666666666664</v>
      </c>
      <c r="R132" s="738">
        <f t="shared" si="48"/>
        <v>53216.666666666664</v>
      </c>
      <c r="S132" s="738">
        <f t="shared" si="48"/>
        <v>53216.666666666664</v>
      </c>
      <c r="T132" s="738">
        <f t="shared" si="48"/>
        <v>53216.666666666664</v>
      </c>
      <c r="U132" s="738">
        <f t="shared" si="48"/>
        <v>3216.666666666667</v>
      </c>
      <c r="V132" s="738">
        <f t="shared" si="48"/>
        <v>3216.666666666667</v>
      </c>
      <c r="W132" s="738">
        <f t="shared" si="48"/>
        <v>3216.666666666667</v>
      </c>
      <c r="X132" s="853">
        <f t="shared" si="48"/>
        <v>3216.666666666667</v>
      </c>
      <c r="Y132" s="739">
        <f>+SUM(Y123:Y131)</f>
        <v>142857.14285714287</v>
      </c>
      <c r="Z132" s="738">
        <f t="shared" ref="Z132:AJ132" si="49">+SUM(Z123:Z131)</f>
        <v>142857.14285714287</v>
      </c>
      <c r="AA132" s="738">
        <f t="shared" si="49"/>
        <v>142857.14285714287</v>
      </c>
      <c r="AB132" s="738">
        <f t="shared" si="49"/>
        <v>26190.476190476191</v>
      </c>
      <c r="AC132" s="738">
        <f t="shared" si="49"/>
        <v>26190.476190476191</v>
      </c>
      <c r="AD132" s="738">
        <f t="shared" si="49"/>
        <v>26190.476190476191</v>
      </c>
      <c r="AE132" s="738">
        <f t="shared" si="49"/>
        <v>26190.476190476191</v>
      </c>
      <c r="AF132" s="738">
        <f t="shared" si="49"/>
        <v>8333.3333333333339</v>
      </c>
      <c r="AG132" s="738">
        <f t="shared" si="49"/>
        <v>8333.3333333333339</v>
      </c>
      <c r="AH132" s="738">
        <f t="shared" si="49"/>
        <v>8333.3333333333339</v>
      </c>
      <c r="AI132" s="738">
        <f t="shared" si="49"/>
        <v>8333.3333333333339</v>
      </c>
      <c r="AJ132" s="853">
        <f t="shared" si="49"/>
        <v>8333.3333333333339</v>
      </c>
    </row>
    <row r="133" spans="2:38" ht="15" thickBot="1" x14ac:dyDescent="0.35">
      <c r="M133" s="971">
        <f>+SUM(M132:X132)</f>
        <v>388600.00000000012</v>
      </c>
      <c r="N133" s="972"/>
      <c r="O133" s="972"/>
      <c r="P133" s="972"/>
      <c r="Q133" s="972"/>
      <c r="R133" s="972"/>
      <c r="S133" s="972"/>
      <c r="T133" s="972"/>
      <c r="U133" s="972"/>
      <c r="V133" s="972"/>
      <c r="W133" s="972"/>
      <c r="X133" s="973"/>
      <c r="Y133" s="971">
        <f>+SUM(Y132:AJ132)</f>
        <v>575000.00000000035</v>
      </c>
      <c r="Z133" s="972"/>
      <c r="AA133" s="972"/>
      <c r="AB133" s="972"/>
      <c r="AC133" s="972"/>
      <c r="AD133" s="972"/>
      <c r="AE133" s="972"/>
      <c r="AF133" s="972"/>
      <c r="AG133" s="972"/>
      <c r="AH133" s="972"/>
      <c r="AI133" s="972"/>
      <c r="AJ133" s="973"/>
      <c r="AK133" s="860" t="str">
        <f>IF(SUM(M133:AJ133)=J132,"Si","No")</f>
        <v>Si</v>
      </c>
      <c r="AL133" s="862">
        <f t="shared" ref="AL133" si="50">+SUM(M133:AJ133)</f>
        <v>963600.00000000047</v>
      </c>
    </row>
    <row r="134" spans="2:38" ht="32.4" customHeight="1" x14ac:dyDescent="0.3">
      <c r="B134" s="416" t="s">
        <v>0</v>
      </c>
      <c r="C134" s="417" t="s">
        <v>6</v>
      </c>
      <c r="D134" s="417" t="s">
        <v>1478</v>
      </c>
      <c r="E134" s="417" t="s">
        <v>1186</v>
      </c>
      <c r="F134" s="417" t="s">
        <v>1517</v>
      </c>
      <c r="G134" s="417"/>
      <c r="H134" s="417" t="s">
        <v>7</v>
      </c>
      <c r="I134" s="417" t="s">
        <v>8</v>
      </c>
      <c r="J134" s="417" t="s">
        <v>1381</v>
      </c>
      <c r="K134" s="417" t="s">
        <v>9</v>
      </c>
      <c r="L134" s="418" t="s">
        <v>10</v>
      </c>
      <c r="M134" s="946"/>
      <c r="N134" s="947"/>
      <c r="O134" s="947"/>
      <c r="P134" s="947"/>
      <c r="Q134" s="947"/>
      <c r="R134" s="947"/>
      <c r="S134" s="947"/>
      <c r="T134" s="947"/>
      <c r="U134" s="947"/>
      <c r="V134" s="947"/>
      <c r="W134" s="947"/>
      <c r="X134" s="948"/>
      <c r="Y134" s="946"/>
      <c r="Z134" s="947"/>
      <c r="AA134" s="947"/>
      <c r="AB134" s="947"/>
      <c r="AC134" s="947"/>
      <c r="AD134" s="947"/>
      <c r="AE134" s="947"/>
      <c r="AF134" s="947"/>
      <c r="AG134" s="947"/>
      <c r="AH134" s="947"/>
      <c r="AI134" s="947"/>
      <c r="AJ134" s="948"/>
    </row>
    <row r="135" spans="2:38" x14ac:dyDescent="0.3">
      <c r="B135" s="407" t="s">
        <v>221</v>
      </c>
      <c r="C135" s="435" t="s">
        <v>223</v>
      </c>
      <c r="D135" s="435"/>
      <c r="E135" s="435"/>
      <c r="F135" s="925" t="s">
        <v>1516</v>
      </c>
      <c r="G135" s="925"/>
      <c r="H135" s="405" t="s">
        <v>224</v>
      </c>
      <c r="I135" s="409">
        <v>150000</v>
      </c>
      <c r="J135" s="409">
        <v>100000</v>
      </c>
      <c r="K135" s="436">
        <v>46115</v>
      </c>
      <c r="L135" s="421">
        <v>46295</v>
      </c>
      <c r="M135" s="723"/>
      <c r="N135" s="146"/>
      <c r="O135" s="146"/>
      <c r="P135" s="591">
        <v>16666.666666666668</v>
      </c>
      <c r="Q135" s="591">
        <v>16666.666666666668</v>
      </c>
      <c r="R135" s="591">
        <v>16666.666666666668</v>
      </c>
      <c r="S135" s="591">
        <v>16666.666666666668</v>
      </c>
      <c r="T135" s="591">
        <v>16666.666666666668</v>
      </c>
      <c r="U135" s="591">
        <v>16666.666666666668</v>
      </c>
      <c r="V135" s="146"/>
      <c r="W135" s="146"/>
      <c r="X135" s="724"/>
      <c r="Y135" s="849"/>
      <c r="Z135" s="146"/>
      <c r="AA135" s="146"/>
      <c r="AB135" s="146"/>
      <c r="AC135" s="146"/>
      <c r="AD135" s="146"/>
      <c r="AE135" s="146"/>
      <c r="AF135" s="146"/>
      <c r="AG135" s="146"/>
      <c r="AH135" s="146"/>
      <c r="AI135" s="146"/>
      <c r="AJ135" s="724"/>
      <c r="AK135" s="860" t="str">
        <f t="shared" ref="AK135:AK143" si="51">IF(SUM(M135:AJ135)=J135,"Si","No")</f>
        <v>Si</v>
      </c>
      <c r="AL135" s="862">
        <f t="shared" ref="AL135:AL143" si="52">+SUM(M135:AJ135)</f>
        <v>100000.00000000001</v>
      </c>
    </row>
    <row r="136" spans="2:38" ht="43.2" x14ac:dyDescent="0.3">
      <c r="B136" s="407" t="s">
        <v>221</v>
      </c>
      <c r="C136" s="435" t="s">
        <v>225</v>
      </c>
      <c r="D136" s="435"/>
      <c r="E136" s="435"/>
      <c r="F136" s="924" t="s">
        <v>1515</v>
      </c>
      <c r="G136" s="924"/>
      <c r="H136" s="405" t="s">
        <v>226</v>
      </c>
      <c r="I136" s="409">
        <v>45000</v>
      </c>
      <c r="J136" s="409">
        <v>45000</v>
      </c>
      <c r="K136" s="436">
        <v>46081</v>
      </c>
      <c r="L136" s="421">
        <v>46468</v>
      </c>
      <c r="M136" s="723"/>
      <c r="N136" s="591">
        <v>9000</v>
      </c>
      <c r="O136" s="591">
        <v>0</v>
      </c>
      <c r="P136" s="591">
        <v>0</v>
      </c>
      <c r="Q136" s="591">
        <v>0</v>
      </c>
      <c r="R136" s="591">
        <v>0</v>
      </c>
      <c r="S136" s="591">
        <v>0</v>
      </c>
      <c r="T136" s="591">
        <v>0</v>
      </c>
      <c r="U136" s="591">
        <v>18000</v>
      </c>
      <c r="V136" s="591">
        <v>0</v>
      </c>
      <c r="W136" s="591">
        <v>0</v>
      </c>
      <c r="X136" s="598">
        <v>0</v>
      </c>
      <c r="Y136" s="850">
        <v>0</v>
      </c>
      <c r="Z136" s="591">
        <v>0</v>
      </c>
      <c r="AA136" s="591">
        <v>18000</v>
      </c>
      <c r="AB136" s="146"/>
      <c r="AC136" s="146"/>
      <c r="AD136" s="146"/>
      <c r="AE136" s="146"/>
      <c r="AF136" s="146"/>
      <c r="AG136" s="146"/>
      <c r="AH136" s="146"/>
      <c r="AI136" s="146"/>
      <c r="AJ136" s="724"/>
      <c r="AK136" s="860" t="str">
        <f t="shared" si="51"/>
        <v>Si</v>
      </c>
      <c r="AL136" s="862">
        <f t="shared" si="52"/>
        <v>45000</v>
      </c>
    </row>
    <row r="137" spans="2:38" ht="28.8" x14ac:dyDescent="0.3">
      <c r="B137" s="407" t="s">
        <v>221</v>
      </c>
      <c r="C137" s="435" t="s">
        <v>225</v>
      </c>
      <c r="D137" s="435"/>
      <c r="E137" s="435"/>
      <c r="F137" s="924" t="s">
        <v>1515</v>
      </c>
      <c r="G137" s="924"/>
      <c r="H137" s="405" t="s">
        <v>227</v>
      </c>
      <c r="I137" s="409">
        <v>100000</v>
      </c>
      <c r="J137" s="409">
        <v>100000</v>
      </c>
      <c r="K137" s="436">
        <v>46054</v>
      </c>
      <c r="L137" s="421">
        <v>46482</v>
      </c>
      <c r="M137" s="723"/>
      <c r="N137" s="591">
        <v>20000</v>
      </c>
      <c r="O137" s="591">
        <v>0</v>
      </c>
      <c r="P137" s="591">
        <v>0</v>
      </c>
      <c r="Q137" s="591">
        <v>0</v>
      </c>
      <c r="R137" s="591">
        <v>0</v>
      </c>
      <c r="S137" s="591">
        <v>0</v>
      </c>
      <c r="T137" s="591">
        <v>0</v>
      </c>
      <c r="U137" s="591">
        <v>40000</v>
      </c>
      <c r="V137" s="591">
        <v>0</v>
      </c>
      <c r="W137" s="591">
        <v>0</v>
      </c>
      <c r="X137" s="598">
        <v>0</v>
      </c>
      <c r="Y137" s="850">
        <v>0</v>
      </c>
      <c r="Z137" s="591">
        <v>0</v>
      </c>
      <c r="AA137" s="591">
        <v>0</v>
      </c>
      <c r="AB137" s="591">
        <v>40000</v>
      </c>
      <c r="AC137" s="146"/>
      <c r="AD137" s="146"/>
      <c r="AE137" s="146"/>
      <c r="AF137" s="146"/>
      <c r="AG137" s="146"/>
      <c r="AH137" s="146"/>
      <c r="AI137" s="146"/>
      <c r="AJ137" s="724"/>
      <c r="AK137" s="860" t="str">
        <f t="shared" si="51"/>
        <v>Si</v>
      </c>
      <c r="AL137" s="862">
        <f t="shared" si="52"/>
        <v>100000</v>
      </c>
    </row>
    <row r="138" spans="2:38" ht="28.8" x14ac:dyDescent="0.3">
      <c r="B138" s="407" t="s">
        <v>221</v>
      </c>
      <c r="C138" s="435" t="s">
        <v>225</v>
      </c>
      <c r="D138" s="435"/>
      <c r="E138" s="435"/>
      <c r="F138" s="924"/>
      <c r="G138" s="924"/>
      <c r="H138" s="405" t="s">
        <v>228</v>
      </c>
      <c r="I138" s="409">
        <v>19200</v>
      </c>
      <c r="J138" s="409">
        <v>19200</v>
      </c>
      <c r="K138" s="436">
        <v>46073</v>
      </c>
      <c r="L138" s="421">
        <v>46253</v>
      </c>
      <c r="M138" s="723"/>
      <c r="N138" s="146"/>
      <c r="O138" s="146"/>
      <c r="P138" s="146"/>
      <c r="Q138" s="146"/>
      <c r="R138" s="146"/>
      <c r="S138" s="146"/>
      <c r="T138" s="146"/>
      <c r="U138" s="146"/>
      <c r="V138" s="146"/>
      <c r="W138" s="146"/>
      <c r="X138" s="724"/>
      <c r="Y138" s="849"/>
      <c r="Z138" s="591">
        <v>3840</v>
      </c>
      <c r="AA138" s="591"/>
      <c r="AB138" s="591">
        <v>4000</v>
      </c>
      <c r="AC138" s="591"/>
      <c r="AD138" s="591">
        <v>7360</v>
      </c>
      <c r="AE138" s="591"/>
      <c r="AF138" s="591">
        <v>4000</v>
      </c>
      <c r="AG138" s="146"/>
      <c r="AH138" s="146"/>
      <c r="AI138" s="146"/>
      <c r="AJ138" s="724"/>
      <c r="AK138" s="860" t="str">
        <f t="shared" si="51"/>
        <v>Si</v>
      </c>
      <c r="AL138" s="862">
        <f t="shared" si="52"/>
        <v>19200</v>
      </c>
    </row>
    <row r="139" spans="2:38" ht="43.2" x14ac:dyDescent="0.3">
      <c r="B139" s="407" t="s">
        <v>221</v>
      </c>
      <c r="C139" s="435" t="s">
        <v>225</v>
      </c>
      <c r="D139" s="435"/>
      <c r="E139" s="435"/>
      <c r="F139" s="924" t="s">
        <v>1515</v>
      </c>
      <c r="G139" s="924"/>
      <c r="H139" s="405" t="s">
        <v>229</v>
      </c>
      <c r="I139" s="409">
        <v>250000</v>
      </c>
      <c r="J139" s="409">
        <v>250000</v>
      </c>
      <c r="K139" s="436">
        <v>46171</v>
      </c>
      <c r="L139" s="421">
        <v>46351</v>
      </c>
      <c r="M139" s="723"/>
      <c r="N139" s="146"/>
      <c r="O139" s="146"/>
      <c r="P139" s="146"/>
      <c r="Q139" s="591">
        <v>35714.285714285717</v>
      </c>
      <c r="R139" s="591">
        <v>35714.285714285717</v>
      </c>
      <c r="S139" s="591">
        <v>35714.285714285703</v>
      </c>
      <c r="T139" s="591">
        <v>35714.285714285717</v>
      </c>
      <c r="U139" s="591">
        <v>35714.285714285717</v>
      </c>
      <c r="V139" s="591">
        <v>35714.285714285717</v>
      </c>
      <c r="W139" s="591">
        <v>35714.285714285717</v>
      </c>
      <c r="X139" s="724"/>
      <c r="Y139" s="849"/>
      <c r="Z139" s="146"/>
      <c r="AA139" s="146"/>
      <c r="AB139" s="146"/>
      <c r="AC139" s="146"/>
      <c r="AD139" s="146"/>
      <c r="AE139" s="146"/>
      <c r="AF139" s="146"/>
      <c r="AG139" s="146"/>
      <c r="AH139" s="146"/>
      <c r="AI139" s="146"/>
      <c r="AJ139" s="724"/>
      <c r="AK139" s="860" t="str">
        <f t="shared" si="51"/>
        <v>Si</v>
      </c>
      <c r="AL139" s="862">
        <f t="shared" si="52"/>
        <v>249999.99999999997</v>
      </c>
    </row>
    <row r="140" spans="2:38" ht="28.8" x14ac:dyDescent="0.3">
      <c r="B140" s="407" t="s">
        <v>221</v>
      </c>
      <c r="C140" s="435" t="s">
        <v>225</v>
      </c>
      <c r="D140" s="435"/>
      <c r="E140" s="435"/>
      <c r="F140" s="924" t="s">
        <v>1515</v>
      </c>
      <c r="G140" s="924"/>
      <c r="H140" s="405" t="s">
        <v>227</v>
      </c>
      <c r="I140" s="409">
        <v>100000</v>
      </c>
      <c r="J140" s="409">
        <v>100000</v>
      </c>
      <c r="K140" s="436">
        <v>46119</v>
      </c>
      <c r="L140" s="421">
        <v>46482</v>
      </c>
      <c r="M140" s="723"/>
      <c r="N140" s="146"/>
      <c r="O140" s="146"/>
      <c r="P140" s="591">
        <v>20000</v>
      </c>
      <c r="Q140" s="591">
        <v>0</v>
      </c>
      <c r="R140" s="591">
        <v>0</v>
      </c>
      <c r="S140" s="591">
        <v>0</v>
      </c>
      <c r="T140" s="591">
        <v>0</v>
      </c>
      <c r="U140" s="591">
        <v>0</v>
      </c>
      <c r="V140" s="591">
        <v>40000</v>
      </c>
      <c r="W140" s="591">
        <v>0</v>
      </c>
      <c r="X140" s="598">
        <v>0</v>
      </c>
      <c r="Y140" s="850">
        <v>0</v>
      </c>
      <c r="Z140" s="591">
        <v>0</v>
      </c>
      <c r="AA140" s="591">
        <v>0</v>
      </c>
      <c r="AB140" s="591">
        <v>40000</v>
      </c>
      <c r="AC140" s="146"/>
      <c r="AD140" s="146"/>
      <c r="AE140" s="146"/>
      <c r="AF140" s="146"/>
      <c r="AG140" s="146"/>
      <c r="AH140" s="146"/>
      <c r="AI140" s="146"/>
      <c r="AJ140" s="724"/>
      <c r="AK140" s="860" t="str">
        <f t="shared" si="51"/>
        <v>Si</v>
      </c>
      <c r="AL140" s="862">
        <f t="shared" si="52"/>
        <v>100000</v>
      </c>
    </row>
    <row r="141" spans="2:38" ht="28.8" x14ac:dyDescent="0.3">
      <c r="B141" s="407" t="s">
        <v>221</v>
      </c>
      <c r="C141" s="435" t="s">
        <v>223</v>
      </c>
      <c r="D141" s="435"/>
      <c r="E141" s="435"/>
      <c r="F141" s="924" t="s">
        <v>1515</v>
      </c>
      <c r="G141" s="924"/>
      <c r="H141" s="405" t="s">
        <v>230</v>
      </c>
      <c r="I141" s="409">
        <v>25000</v>
      </c>
      <c r="J141" s="409">
        <v>25000</v>
      </c>
      <c r="K141" s="437">
        <v>46057</v>
      </c>
      <c r="L141" s="421">
        <v>46237</v>
      </c>
      <c r="M141" s="723"/>
      <c r="N141" s="591">
        <v>3571.4285714285716</v>
      </c>
      <c r="O141" s="591">
        <v>3571.4285714285716</v>
      </c>
      <c r="P141" s="591">
        <v>3571.4285714285716</v>
      </c>
      <c r="Q141" s="591">
        <v>3571.4285714285716</v>
      </c>
      <c r="R141" s="591">
        <v>3571.4285714285716</v>
      </c>
      <c r="S141" s="591">
        <v>3571.4285714285716</v>
      </c>
      <c r="T141" s="591">
        <v>3571.4285714285716</v>
      </c>
      <c r="U141" s="146"/>
      <c r="V141" s="146"/>
      <c r="W141" s="146"/>
      <c r="X141" s="724"/>
      <c r="Y141" s="849"/>
      <c r="Z141" s="146"/>
      <c r="AA141" s="146"/>
      <c r="AB141" s="146"/>
      <c r="AC141" s="146"/>
      <c r="AD141" s="146"/>
      <c r="AE141" s="146"/>
      <c r="AF141" s="146"/>
      <c r="AG141" s="146"/>
      <c r="AH141" s="146"/>
      <c r="AI141" s="146"/>
      <c r="AJ141" s="724"/>
      <c r="AK141" s="860" t="str">
        <f t="shared" si="51"/>
        <v>Si</v>
      </c>
      <c r="AL141" s="862">
        <f t="shared" si="52"/>
        <v>25000.000000000004</v>
      </c>
    </row>
    <row r="142" spans="2:38" x14ac:dyDescent="0.3">
      <c r="B142" s="407" t="s">
        <v>221</v>
      </c>
      <c r="C142" s="435" t="s">
        <v>231</v>
      </c>
      <c r="D142" s="435"/>
      <c r="E142" s="435"/>
      <c r="F142" s="923" t="s">
        <v>1518</v>
      </c>
      <c r="G142" s="923"/>
      <c r="H142" s="405" t="s">
        <v>191</v>
      </c>
      <c r="I142" s="409">
        <v>3500</v>
      </c>
      <c r="J142" s="409">
        <v>3500</v>
      </c>
      <c r="K142" s="437" t="s">
        <v>63</v>
      </c>
      <c r="L142" s="411" t="s">
        <v>63</v>
      </c>
      <c r="M142" s="723"/>
      <c r="N142" s="591">
        <v>233.33333333333334</v>
      </c>
      <c r="O142" s="591">
        <v>233.33333333333334</v>
      </c>
      <c r="P142" s="591">
        <v>233.33333333333334</v>
      </c>
      <c r="Q142" s="591">
        <v>233.33333333333334</v>
      </c>
      <c r="R142" s="591">
        <v>233.33333333333334</v>
      </c>
      <c r="S142" s="591">
        <v>233.33333333333334</v>
      </c>
      <c r="T142" s="591">
        <v>233.33333333333334</v>
      </c>
      <c r="U142" s="591">
        <v>233.33333333333334</v>
      </c>
      <c r="V142" s="591">
        <v>233.33333333333334</v>
      </c>
      <c r="W142" s="591">
        <v>233.33333333333334</v>
      </c>
      <c r="X142" s="598">
        <v>233.33333333333334</v>
      </c>
      <c r="Y142" s="850">
        <v>233.33333333333334</v>
      </c>
      <c r="Z142" s="591">
        <v>233.33333333333334</v>
      </c>
      <c r="AA142" s="591">
        <v>233.33333333333334</v>
      </c>
      <c r="AB142" s="591">
        <v>233.33333333333334</v>
      </c>
      <c r="AC142" s="710"/>
      <c r="AD142" s="710"/>
      <c r="AE142" s="710"/>
      <c r="AF142" s="710"/>
      <c r="AG142" s="710"/>
      <c r="AH142" s="710"/>
      <c r="AI142" s="710"/>
      <c r="AJ142" s="712"/>
      <c r="AK142" s="860" t="str">
        <f t="shared" si="51"/>
        <v>Si</v>
      </c>
      <c r="AL142" s="862">
        <f t="shared" si="52"/>
        <v>3500.0000000000009</v>
      </c>
    </row>
    <row r="143" spans="2:38" x14ac:dyDescent="0.3">
      <c r="B143" s="407" t="s">
        <v>221</v>
      </c>
      <c r="C143" s="435" t="s">
        <v>232</v>
      </c>
      <c r="D143" s="435"/>
      <c r="E143" s="435"/>
      <c r="F143" s="435" t="s">
        <v>1518</v>
      </c>
      <c r="G143" s="435"/>
      <c r="H143" s="405" t="s">
        <v>193</v>
      </c>
      <c r="I143" s="409">
        <v>775.99</v>
      </c>
      <c r="J143" s="409">
        <v>775.99</v>
      </c>
      <c r="K143" s="437" t="s">
        <v>63</v>
      </c>
      <c r="L143" s="411" t="s">
        <v>63</v>
      </c>
      <c r="M143" s="723"/>
      <c r="N143" s="591">
        <v>51.732666666666667</v>
      </c>
      <c r="O143" s="591">
        <v>51.732666666666667</v>
      </c>
      <c r="P143" s="591">
        <v>51.732666666666667</v>
      </c>
      <c r="Q143" s="591">
        <v>51.732666666666667</v>
      </c>
      <c r="R143" s="591">
        <v>51.732666666666667</v>
      </c>
      <c r="S143" s="591">
        <v>51.732666666666667</v>
      </c>
      <c r="T143" s="591">
        <v>51.732666666666667</v>
      </c>
      <c r="U143" s="591">
        <v>51.732666666666667</v>
      </c>
      <c r="V143" s="591">
        <v>51.732666666666667</v>
      </c>
      <c r="W143" s="591">
        <v>51.732666666666667</v>
      </c>
      <c r="X143" s="598">
        <v>51.732666666666667</v>
      </c>
      <c r="Y143" s="850">
        <v>51.732666666666667</v>
      </c>
      <c r="Z143" s="591">
        <v>51.732666666666667</v>
      </c>
      <c r="AA143" s="591">
        <v>51.732666666666667</v>
      </c>
      <c r="AB143" s="591">
        <v>51.732666666666667</v>
      </c>
      <c r="AC143" s="710"/>
      <c r="AD143" s="710"/>
      <c r="AE143" s="710"/>
      <c r="AF143" s="710"/>
      <c r="AG143" s="710"/>
      <c r="AH143" s="710"/>
      <c r="AI143" s="710"/>
      <c r="AJ143" s="712"/>
      <c r="AK143" s="860" t="str">
        <f t="shared" si="51"/>
        <v>Si</v>
      </c>
      <c r="AL143" s="862">
        <f t="shared" si="52"/>
        <v>775.99</v>
      </c>
    </row>
    <row r="144" spans="2:38" x14ac:dyDescent="0.3">
      <c r="B144" s="407" t="s">
        <v>221</v>
      </c>
      <c r="C144" s="435" t="s">
        <v>233</v>
      </c>
      <c r="D144" s="435"/>
      <c r="E144" s="435"/>
      <c r="F144" s="435" t="s">
        <v>1518</v>
      </c>
      <c r="G144" s="435"/>
      <c r="H144" s="405" t="s">
        <v>187</v>
      </c>
      <c r="I144" s="409">
        <v>12000</v>
      </c>
      <c r="J144" s="409">
        <v>6000</v>
      </c>
      <c r="K144" s="437" t="s">
        <v>63</v>
      </c>
      <c r="L144" s="411" t="s">
        <v>63</v>
      </c>
      <c r="M144" s="723"/>
      <c r="N144" s="591">
        <v>400</v>
      </c>
      <c r="O144" s="591">
        <v>400</v>
      </c>
      <c r="P144" s="591">
        <v>400</v>
      </c>
      <c r="Q144" s="591">
        <v>400</v>
      </c>
      <c r="R144" s="591">
        <v>400</v>
      </c>
      <c r="S144" s="591">
        <v>400</v>
      </c>
      <c r="T144" s="591">
        <v>400</v>
      </c>
      <c r="U144" s="591">
        <v>400</v>
      </c>
      <c r="V144" s="591">
        <v>400</v>
      </c>
      <c r="W144" s="591">
        <v>400</v>
      </c>
      <c r="X144" s="598">
        <v>400</v>
      </c>
      <c r="Y144" s="850">
        <v>400</v>
      </c>
      <c r="Z144" s="591">
        <v>400</v>
      </c>
      <c r="AA144" s="591">
        <v>400</v>
      </c>
      <c r="AB144" s="591">
        <v>400</v>
      </c>
      <c r="AC144" s="710"/>
      <c r="AD144" s="710"/>
      <c r="AE144" s="710"/>
      <c r="AF144" s="710"/>
      <c r="AG144" s="710"/>
      <c r="AH144" s="710"/>
      <c r="AI144" s="710"/>
      <c r="AJ144" s="712"/>
      <c r="AK144" s="860" t="str">
        <f t="shared" ref="AK144:AK147" si="53">IF(SUM(M144:AJ144)=J144,"Si","No")</f>
        <v>Si</v>
      </c>
      <c r="AL144" s="862">
        <f t="shared" ref="AL144:AL147" si="54">+SUM(M144:AJ144)</f>
        <v>6000</v>
      </c>
    </row>
    <row r="145" spans="2:38" x14ac:dyDescent="0.3">
      <c r="B145" s="407" t="s">
        <v>221</v>
      </c>
      <c r="C145" s="435" t="s">
        <v>234</v>
      </c>
      <c r="D145" s="435"/>
      <c r="E145" s="435"/>
      <c r="F145" s="435" t="s">
        <v>1518</v>
      </c>
      <c r="G145" s="435"/>
      <c r="H145" s="405" t="s">
        <v>111</v>
      </c>
      <c r="I145" s="409">
        <v>22500</v>
      </c>
      <c r="J145" s="409">
        <v>15000</v>
      </c>
      <c r="K145" s="437" t="s">
        <v>63</v>
      </c>
      <c r="L145" s="411" t="s">
        <v>63</v>
      </c>
      <c r="M145" s="723"/>
      <c r="N145" s="591">
        <v>1000</v>
      </c>
      <c r="O145" s="591">
        <v>1000</v>
      </c>
      <c r="P145" s="591">
        <v>1000</v>
      </c>
      <c r="Q145" s="591">
        <v>1000</v>
      </c>
      <c r="R145" s="591">
        <v>1000</v>
      </c>
      <c r="S145" s="591">
        <v>1000</v>
      </c>
      <c r="T145" s="591">
        <v>1000</v>
      </c>
      <c r="U145" s="591">
        <v>1000</v>
      </c>
      <c r="V145" s="591">
        <v>1000</v>
      </c>
      <c r="W145" s="591">
        <v>1000</v>
      </c>
      <c r="X145" s="598">
        <v>1000</v>
      </c>
      <c r="Y145" s="850">
        <v>1000</v>
      </c>
      <c r="Z145" s="591">
        <v>1000</v>
      </c>
      <c r="AA145" s="591">
        <v>1000</v>
      </c>
      <c r="AB145" s="591">
        <v>1000</v>
      </c>
      <c r="AC145" s="710"/>
      <c r="AD145" s="710"/>
      <c r="AE145" s="710"/>
      <c r="AF145" s="710"/>
      <c r="AG145" s="710"/>
      <c r="AH145" s="710"/>
      <c r="AI145" s="710"/>
      <c r="AJ145" s="712"/>
      <c r="AK145" s="860" t="str">
        <f t="shared" si="53"/>
        <v>Si</v>
      </c>
      <c r="AL145" s="862">
        <f t="shared" si="54"/>
        <v>15000</v>
      </c>
    </row>
    <row r="146" spans="2:38" x14ac:dyDescent="0.3">
      <c r="B146" s="407" t="s">
        <v>221</v>
      </c>
      <c r="C146" s="435" t="s">
        <v>235</v>
      </c>
      <c r="D146" s="435"/>
      <c r="E146" s="435"/>
      <c r="F146" s="435" t="s">
        <v>1518</v>
      </c>
      <c r="G146" s="435"/>
      <c r="H146" s="405" t="s">
        <v>196</v>
      </c>
      <c r="I146" s="409">
        <v>100000</v>
      </c>
      <c r="J146" s="409">
        <v>50000</v>
      </c>
      <c r="K146" s="437" t="s">
        <v>63</v>
      </c>
      <c r="L146" s="411" t="s">
        <v>63</v>
      </c>
      <c r="M146" s="723"/>
      <c r="N146" s="591">
        <v>3333.3333333333335</v>
      </c>
      <c r="O146" s="591">
        <v>3333.3333333333335</v>
      </c>
      <c r="P146" s="591">
        <v>3333.3333333333335</v>
      </c>
      <c r="Q146" s="591">
        <v>3333.3333333333335</v>
      </c>
      <c r="R146" s="591">
        <v>3333.3333333333335</v>
      </c>
      <c r="S146" s="591">
        <v>3333.3333333333335</v>
      </c>
      <c r="T146" s="591">
        <v>3333.3333333333335</v>
      </c>
      <c r="U146" s="591">
        <v>3333.3333333333335</v>
      </c>
      <c r="V146" s="591">
        <v>3333.3333333333335</v>
      </c>
      <c r="W146" s="591">
        <v>3333.3333333333335</v>
      </c>
      <c r="X146" s="598">
        <v>3333.3333333333335</v>
      </c>
      <c r="Y146" s="850">
        <v>3333.3333333333335</v>
      </c>
      <c r="Z146" s="591">
        <v>3333.3333333333335</v>
      </c>
      <c r="AA146" s="591">
        <v>3333.3333333333335</v>
      </c>
      <c r="AB146" s="591">
        <v>3333.3333333333335</v>
      </c>
      <c r="AC146" s="710"/>
      <c r="AD146" s="710"/>
      <c r="AE146" s="710"/>
      <c r="AF146" s="710"/>
      <c r="AG146" s="710"/>
      <c r="AH146" s="710"/>
      <c r="AI146" s="710"/>
      <c r="AJ146" s="712"/>
      <c r="AK146" s="860" t="str">
        <f t="shared" si="53"/>
        <v>Si</v>
      </c>
      <c r="AL146" s="862">
        <f t="shared" si="54"/>
        <v>50000.000000000007</v>
      </c>
    </row>
    <row r="147" spans="2:38" ht="27" customHeight="1" thickBot="1" x14ac:dyDescent="0.35">
      <c r="B147" s="426" t="s">
        <v>221</v>
      </c>
      <c r="C147" s="429" t="s">
        <v>236</v>
      </c>
      <c r="D147" s="429"/>
      <c r="E147" s="429"/>
      <c r="F147" s="429" t="s">
        <v>1518</v>
      </c>
      <c r="G147" s="429"/>
      <c r="H147" s="427" t="s">
        <v>237</v>
      </c>
      <c r="I147" s="433">
        <v>900</v>
      </c>
      <c r="J147" s="433">
        <v>900</v>
      </c>
      <c r="K147" s="440" t="s">
        <v>63</v>
      </c>
      <c r="L147" s="412" t="s">
        <v>63</v>
      </c>
      <c r="M147" s="723"/>
      <c r="N147" s="591">
        <v>60</v>
      </c>
      <c r="O147" s="591">
        <v>60</v>
      </c>
      <c r="P147" s="591">
        <v>60</v>
      </c>
      <c r="Q147" s="591">
        <v>60</v>
      </c>
      <c r="R147" s="591">
        <v>60</v>
      </c>
      <c r="S147" s="591">
        <v>60</v>
      </c>
      <c r="T147" s="591">
        <v>60</v>
      </c>
      <c r="U147" s="591">
        <v>60</v>
      </c>
      <c r="V147" s="591">
        <v>60</v>
      </c>
      <c r="W147" s="591">
        <v>60</v>
      </c>
      <c r="X147" s="598">
        <v>60</v>
      </c>
      <c r="Y147" s="850">
        <v>60</v>
      </c>
      <c r="Z147" s="591">
        <v>60</v>
      </c>
      <c r="AA147" s="591">
        <v>60</v>
      </c>
      <c r="AB147" s="591">
        <v>60</v>
      </c>
      <c r="AC147" s="710"/>
      <c r="AD147" s="710"/>
      <c r="AE147" s="710"/>
      <c r="AF147" s="710"/>
      <c r="AG147" s="710"/>
      <c r="AH147" s="710"/>
      <c r="AI147" s="710"/>
      <c r="AJ147" s="712"/>
      <c r="AK147" s="860" t="str">
        <f t="shared" si="53"/>
        <v>Si</v>
      </c>
      <c r="AL147" s="862">
        <f t="shared" si="54"/>
        <v>900</v>
      </c>
    </row>
    <row r="148" spans="2:38" ht="15" thickBot="1" x14ac:dyDescent="0.35">
      <c r="H148" s="513" t="s">
        <v>26</v>
      </c>
      <c r="I148" s="514">
        <f>SUM(I135:I147)</f>
        <v>828875.99</v>
      </c>
      <c r="J148" s="709">
        <f>SUM(J135:J147)</f>
        <v>715375.99</v>
      </c>
      <c r="M148" s="739">
        <f>+SUM(M135:M147)</f>
        <v>0</v>
      </c>
      <c r="N148" s="738">
        <f t="shared" ref="N148:X148" si="55">+SUM(N135:N147)</f>
        <v>37649.827904761907</v>
      </c>
      <c r="O148" s="738">
        <f t="shared" si="55"/>
        <v>8649.8279047619053</v>
      </c>
      <c r="P148" s="738">
        <f t="shared" si="55"/>
        <v>45316.494571428579</v>
      </c>
      <c r="Q148" s="738">
        <f t="shared" si="55"/>
        <v>61030.780285714289</v>
      </c>
      <c r="R148" s="738">
        <f t="shared" si="55"/>
        <v>61030.780285714289</v>
      </c>
      <c r="S148" s="738">
        <f t="shared" si="55"/>
        <v>61030.780285714274</v>
      </c>
      <c r="T148" s="738">
        <f t="shared" si="55"/>
        <v>61030.780285714289</v>
      </c>
      <c r="U148" s="738">
        <f t="shared" si="55"/>
        <v>115459.35171428572</v>
      </c>
      <c r="V148" s="738">
        <f t="shared" si="55"/>
        <v>80792.68504761903</v>
      </c>
      <c r="W148" s="738">
        <f t="shared" si="55"/>
        <v>40792.685047619052</v>
      </c>
      <c r="X148" s="853">
        <f t="shared" si="55"/>
        <v>5078.3993333333337</v>
      </c>
      <c r="Y148" s="739">
        <f>+SUM(Y135:Y147)</f>
        <v>5078.3993333333337</v>
      </c>
      <c r="Z148" s="738">
        <f t="shared" ref="Z148:AJ148" si="56">+SUM(Z135:Z147)</f>
        <v>8918.3993333333328</v>
      </c>
      <c r="AA148" s="738">
        <f t="shared" si="56"/>
        <v>23078.399333333331</v>
      </c>
      <c r="AB148" s="738">
        <f t="shared" si="56"/>
        <v>89078.39933333332</v>
      </c>
      <c r="AC148" s="738">
        <f t="shared" si="56"/>
        <v>0</v>
      </c>
      <c r="AD148" s="738">
        <f t="shared" si="56"/>
        <v>7360</v>
      </c>
      <c r="AE148" s="738">
        <f t="shared" si="56"/>
        <v>0</v>
      </c>
      <c r="AF148" s="738">
        <f t="shared" si="56"/>
        <v>4000</v>
      </c>
      <c r="AG148" s="738">
        <f t="shared" si="56"/>
        <v>0</v>
      </c>
      <c r="AH148" s="738">
        <f t="shared" si="56"/>
        <v>0</v>
      </c>
      <c r="AI148" s="738">
        <f t="shared" si="56"/>
        <v>0</v>
      </c>
      <c r="AJ148" s="853">
        <f t="shared" si="56"/>
        <v>0</v>
      </c>
    </row>
    <row r="149" spans="2:38" s="491" customFormat="1" ht="15" thickBot="1" x14ac:dyDescent="0.35">
      <c r="H149" s="528"/>
      <c r="I149" s="529"/>
      <c r="J149" s="529"/>
      <c r="L149" s="530"/>
      <c r="M149" s="971">
        <f>+SUM(M148:X148)</f>
        <v>577862.39266666665</v>
      </c>
      <c r="N149" s="972"/>
      <c r="O149" s="972"/>
      <c r="P149" s="972"/>
      <c r="Q149" s="972"/>
      <c r="R149" s="972"/>
      <c r="S149" s="972"/>
      <c r="T149" s="972"/>
      <c r="U149" s="972"/>
      <c r="V149" s="972"/>
      <c r="W149" s="972"/>
      <c r="X149" s="973"/>
      <c r="Y149" s="971">
        <f>+SUM(Y148:AJ148)</f>
        <v>137513.59733333331</v>
      </c>
      <c r="Z149" s="972"/>
      <c r="AA149" s="972"/>
      <c r="AB149" s="972"/>
      <c r="AC149" s="972"/>
      <c r="AD149" s="972"/>
      <c r="AE149" s="972"/>
      <c r="AF149" s="972"/>
      <c r="AG149" s="972"/>
      <c r="AH149" s="972"/>
      <c r="AI149" s="972"/>
      <c r="AJ149" s="973"/>
      <c r="AK149" s="860" t="str">
        <f>IF(SUM(M149:AJ149)=J148,"Si","No")</f>
        <v>Si</v>
      </c>
      <c r="AL149" s="862">
        <f t="shared" ref="AL149" si="57">+SUM(M149:AJ149)</f>
        <v>715375.99</v>
      </c>
    </row>
    <row r="150" spans="2:38" s="491" customFormat="1" ht="32.4" customHeight="1" x14ac:dyDescent="0.3">
      <c r="B150" s="416" t="s">
        <v>0</v>
      </c>
      <c r="C150" s="417" t="s">
        <v>6</v>
      </c>
      <c r="D150" s="417" t="s">
        <v>1478</v>
      </c>
      <c r="E150" s="417" t="s">
        <v>1186</v>
      </c>
      <c r="F150" s="417" t="s">
        <v>1517</v>
      </c>
      <c r="G150" s="417"/>
      <c r="H150" s="417" t="s">
        <v>7</v>
      </c>
      <c r="I150" s="417" t="s">
        <v>8</v>
      </c>
      <c r="J150" s="417" t="s">
        <v>1381</v>
      </c>
      <c r="K150" s="417" t="s">
        <v>9</v>
      </c>
      <c r="L150" s="418" t="s">
        <v>10</v>
      </c>
      <c r="M150" s="946"/>
      <c r="N150" s="947"/>
      <c r="O150" s="947"/>
      <c r="P150" s="947"/>
      <c r="Q150" s="947"/>
      <c r="R150" s="947"/>
      <c r="S150" s="947"/>
      <c r="T150" s="947"/>
      <c r="U150" s="947"/>
      <c r="V150" s="947"/>
      <c r="W150" s="947"/>
      <c r="X150" s="948"/>
      <c r="Y150" s="968"/>
      <c r="Z150" s="969"/>
      <c r="AA150" s="969"/>
      <c r="AB150" s="969"/>
      <c r="AC150" s="969"/>
      <c r="AD150" s="969"/>
      <c r="AE150" s="969"/>
      <c r="AF150" s="969"/>
      <c r="AG150" s="969"/>
      <c r="AH150" s="969"/>
      <c r="AI150" s="969"/>
      <c r="AJ150" s="970"/>
    </row>
    <row r="151" spans="2:38" s="491" customFormat="1" ht="43.2" x14ac:dyDescent="0.3">
      <c r="B151" s="407" t="s">
        <v>240</v>
      </c>
      <c r="C151" s="435" t="s">
        <v>241</v>
      </c>
      <c r="D151" s="435"/>
      <c r="E151" s="435"/>
      <c r="F151" s="925" t="s">
        <v>1516</v>
      </c>
      <c r="G151" s="925"/>
      <c r="H151" s="405" t="s">
        <v>242</v>
      </c>
      <c r="I151" s="409">
        <v>50000</v>
      </c>
      <c r="J151" s="409">
        <v>50000</v>
      </c>
      <c r="K151" s="436">
        <v>46113</v>
      </c>
      <c r="L151" s="421">
        <v>46326</v>
      </c>
      <c r="M151" s="725"/>
      <c r="N151" s="718"/>
      <c r="O151" s="718"/>
      <c r="P151" s="591">
        <v>7142.8571428571431</v>
      </c>
      <c r="Q151" s="591">
        <v>7142.8571428571431</v>
      </c>
      <c r="R151" s="591">
        <v>7142.8571428571431</v>
      </c>
      <c r="S151" s="591">
        <v>7142.8571428571431</v>
      </c>
      <c r="T151" s="591">
        <v>7142.8571428571431</v>
      </c>
      <c r="U151" s="591">
        <v>7142.8571428571431</v>
      </c>
      <c r="V151" s="591">
        <v>7142.8571428571431</v>
      </c>
      <c r="W151" s="718"/>
      <c r="X151" s="726"/>
      <c r="Y151" s="725"/>
      <c r="Z151" s="718"/>
      <c r="AA151" s="718"/>
      <c r="AB151" s="718"/>
      <c r="AC151" s="718"/>
      <c r="AD151" s="718"/>
      <c r="AE151" s="718"/>
      <c r="AF151" s="718"/>
      <c r="AG151" s="718"/>
      <c r="AH151" s="718"/>
      <c r="AI151" s="718"/>
      <c r="AJ151" s="726"/>
      <c r="AK151" s="860" t="str">
        <f t="shared" ref="AK151:AK173" si="58">IF(SUM(M151:AJ151)=J151,"Si","No")</f>
        <v>Si</v>
      </c>
      <c r="AL151" s="862">
        <f t="shared" ref="AL151:AL173" si="59">+SUM(M151:AJ151)</f>
        <v>50000.000000000007</v>
      </c>
    </row>
    <row r="152" spans="2:38" s="491" customFormat="1" ht="28.8" x14ac:dyDescent="0.3">
      <c r="B152" s="407" t="s">
        <v>240</v>
      </c>
      <c r="C152" s="435" t="s">
        <v>241</v>
      </c>
      <c r="D152" s="435"/>
      <c r="E152" s="435"/>
      <c r="F152" s="925" t="s">
        <v>1516</v>
      </c>
      <c r="G152" s="925"/>
      <c r="H152" s="405" t="s">
        <v>243</v>
      </c>
      <c r="I152" s="409">
        <v>100000</v>
      </c>
      <c r="J152" s="409">
        <v>100000</v>
      </c>
      <c r="K152" s="436">
        <v>46235</v>
      </c>
      <c r="L152" s="421">
        <v>46599</v>
      </c>
      <c r="M152" s="725"/>
      <c r="N152" s="718"/>
      <c r="O152" s="718"/>
      <c r="P152" s="718"/>
      <c r="Q152" s="718"/>
      <c r="R152" s="718"/>
      <c r="S152" s="718"/>
      <c r="T152" s="591">
        <v>20000</v>
      </c>
      <c r="U152" s="591">
        <v>0</v>
      </c>
      <c r="V152" s="591">
        <v>0</v>
      </c>
      <c r="W152" s="591">
        <v>0</v>
      </c>
      <c r="X152" s="598">
        <v>0</v>
      </c>
      <c r="Y152" s="597">
        <v>40000</v>
      </c>
      <c r="Z152" s="591">
        <v>0</v>
      </c>
      <c r="AA152" s="591">
        <v>0</v>
      </c>
      <c r="AB152" s="591">
        <v>0</v>
      </c>
      <c r="AC152" s="591">
        <v>20000</v>
      </c>
      <c r="AD152" s="591">
        <v>0</v>
      </c>
      <c r="AE152" s="591">
        <v>20000</v>
      </c>
      <c r="AF152" s="718"/>
      <c r="AG152" s="718"/>
      <c r="AH152" s="718"/>
      <c r="AI152" s="718"/>
      <c r="AJ152" s="726"/>
      <c r="AK152" s="860" t="str">
        <f t="shared" si="58"/>
        <v>Si</v>
      </c>
      <c r="AL152" s="862">
        <f t="shared" si="59"/>
        <v>100000</v>
      </c>
    </row>
    <row r="153" spans="2:38" s="491" customFormat="1" x14ac:dyDescent="0.3">
      <c r="B153" s="407" t="s">
        <v>240</v>
      </c>
      <c r="C153" s="435" t="s">
        <v>241</v>
      </c>
      <c r="D153" s="435"/>
      <c r="E153" s="435"/>
      <c r="F153" s="924" t="s">
        <v>1515</v>
      </c>
      <c r="G153" s="924"/>
      <c r="H153" s="405" t="s">
        <v>251</v>
      </c>
      <c r="I153" s="409">
        <v>100000</v>
      </c>
      <c r="J153" s="409">
        <v>80000</v>
      </c>
      <c r="K153" s="437">
        <v>45839</v>
      </c>
      <c r="L153" s="421">
        <v>46752</v>
      </c>
      <c r="M153" s="597">
        <f>+J153/24</f>
        <v>3333.3333333333335</v>
      </c>
      <c r="N153" s="591">
        <v>3333.3333333333335</v>
      </c>
      <c r="O153" s="591">
        <v>3333.3333333333335</v>
      </c>
      <c r="P153" s="591">
        <v>3333.3333333333335</v>
      </c>
      <c r="Q153" s="591">
        <v>3333.3333333333335</v>
      </c>
      <c r="R153" s="591">
        <v>3333.3333333333335</v>
      </c>
      <c r="S153" s="591">
        <v>3333.3333333333335</v>
      </c>
      <c r="T153" s="591">
        <v>3333.3333333333335</v>
      </c>
      <c r="U153" s="591">
        <v>3333.3333333333335</v>
      </c>
      <c r="V153" s="591">
        <v>3333.3333333333335</v>
      </c>
      <c r="W153" s="591">
        <v>3333.3333333333335</v>
      </c>
      <c r="X153" s="598">
        <v>3333.3333333333335</v>
      </c>
      <c r="Y153" s="597">
        <v>3333.3333333333335</v>
      </c>
      <c r="Z153" s="591">
        <v>3333.3333333333335</v>
      </c>
      <c r="AA153" s="591">
        <v>3333.3333333333335</v>
      </c>
      <c r="AB153" s="591">
        <v>3333.3333333333335</v>
      </c>
      <c r="AC153" s="591">
        <v>3333.3333333333335</v>
      </c>
      <c r="AD153" s="591">
        <v>3333.3333333333335</v>
      </c>
      <c r="AE153" s="591">
        <v>3333.3333333333335</v>
      </c>
      <c r="AF153" s="591">
        <v>3333.3333333333335</v>
      </c>
      <c r="AG153" s="591">
        <v>3333.3333333333335</v>
      </c>
      <c r="AH153" s="591">
        <v>3333.3333333333335</v>
      </c>
      <c r="AI153" s="591">
        <v>3333.3333333333335</v>
      </c>
      <c r="AJ153" s="598">
        <v>3333.3333333333335</v>
      </c>
      <c r="AK153" s="860" t="str">
        <f t="shared" si="58"/>
        <v>Si</v>
      </c>
      <c r="AL153" s="862">
        <f t="shared" si="59"/>
        <v>80000</v>
      </c>
    </row>
    <row r="154" spans="2:38" s="491" customFormat="1" ht="69" customHeight="1" x14ac:dyDescent="0.3">
      <c r="B154" s="536" t="s">
        <v>814</v>
      </c>
      <c r="C154" s="582"/>
      <c r="D154" s="435"/>
      <c r="E154" s="435"/>
      <c r="F154" s="925" t="s">
        <v>1516</v>
      </c>
      <c r="G154" s="925"/>
      <c r="H154" s="405" t="s">
        <v>268</v>
      </c>
      <c r="I154" s="409">
        <v>100000</v>
      </c>
      <c r="J154" s="409">
        <v>100000</v>
      </c>
      <c r="K154" s="531">
        <v>46204</v>
      </c>
      <c r="L154" s="532">
        <v>46752</v>
      </c>
      <c r="M154" s="711"/>
      <c r="N154" s="710"/>
      <c r="O154" s="710"/>
      <c r="P154" s="710"/>
      <c r="Q154" s="710"/>
      <c r="R154" s="710"/>
      <c r="S154" s="591">
        <v>2083.3333333333348</v>
      </c>
      <c r="T154" s="591">
        <v>2083.3333333333348</v>
      </c>
      <c r="U154" s="591">
        <v>2083.3333333333348</v>
      </c>
      <c r="V154" s="591">
        <v>2083.3333333333348</v>
      </c>
      <c r="W154" s="591">
        <v>2083.3333333333348</v>
      </c>
      <c r="X154" s="598">
        <v>2083.3333333333348</v>
      </c>
      <c r="Y154" s="597">
        <f>6250+(12500)/12</f>
        <v>7291.666666666667</v>
      </c>
      <c r="Z154" s="591">
        <v>7291.666666666667</v>
      </c>
      <c r="AA154" s="591">
        <v>7291.666666666667</v>
      </c>
      <c r="AB154" s="591">
        <v>7291.666666666667</v>
      </c>
      <c r="AC154" s="591">
        <v>7291.666666666667</v>
      </c>
      <c r="AD154" s="591">
        <v>7291.666666666667</v>
      </c>
      <c r="AE154" s="591">
        <v>7291.666666666667</v>
      </c>
      <c r="AF154" s="591">
        <v>7291.666666666667</v>
      </c>
      <c r="AG154" s="591">
        <v>7291.666666666667</v>
      </c>
      <c r="AH154" s="591">
        <v>7291.666666666667</v>
      </c>
      <c r="AI154" s="591">
        <v>7291.666666666667</v>
      </c>
      <c r="AJ154" s="598">
        <v>7291.666666666667</v>
      </c>
      <c r="AK154" s="860" t="str">
        <f t="shared" si="58"/>
        <v>Si</v>
      </c>
      <c r="AL154" s="862">
        <f t="shared" si="59"/>
        <v>100000.00000000003</v>
      </c>
    </row>
    <row r="155" spans="2:38" s="491" customFormat="1" ht="43.2" x14ac:dyDescent="0.3">
      <c r="B155" s="536" t="s">
        <v>814</v>
      </c>
      <c r="C155" s="582" t="s">
        <v>269</v>
      </c>
      <c r="D155" s="435"/>
      <c r="E155" s="435"/>
      <c r="F155" s="925" t="s">
        <v>1516</v>
      </c>
      <c r="G155" s="925"/>
      <c r="H155" s="405" t="s">
        <v>270</v>
      </c>
      <c r="I155" s="409">
        <v>100000</v>
      </c>
      <c r="J155" s="409">
        <v>100000</v>
      </c>
      <c r="K155" s="531">
        <v>46388</v>
      </c>
      <c r="L155" s="532">
        <v>46752</v>
      </c>
      <c r="M155" s="711"/>
      <c r="N155" s="710"/>
      <c r="O155" s="710"/>
      <c r="P155" s="710"/>
      <c r="Q155" s="710"/>
      <c r="R155" s="710"/>
      <c r="S155" s="710"/>
      <c r="T155" s="710"/>
      <c r="U155" s="710"/>
      <c r="V155" s="710"/>
      <c r="W155" s="710"/>
      <c r="X155" s="712"/>
      <c r="Y155" s="597">
        <v>8333.3333333333339</v>
      </c>
      <c r="Z155" s="591">
        <v>8333.3333333333339</v>
      </c>
      <c r="AA155" s="591">
        <v>8333.3333333333339</v>
      </c>
      <c r="AB155" s="591">
        <v>8333.3333333333339</v>
      </c>
      <c r="AC155" s="591">
        <v>8333.3333333333339</v>
      </c>
      <c r="AD155" s="591">
        <v>8333.3333333333339</v>
      </c>
      <c r="AE155" s="591">
        <v>8333.3333333333339</v>
      </c>
      <c r="AF155" s="591">
        <v>8333.3333333333339</v>
      </c>
      <c r="AG155" s="591">
        <v>8333.3333333333339</v>
      </c>
      <c r="AH155" s="591">
        <v>8333.3333333333339</v>
      </c>
      <c r="AI155" s="591">
        <v>8333.3333333333339</v>
      </c>
      <c r="AJ155" s="598">
        <v>8333.3333333333339</v>
      </c>
      <c r="AK155" s="860" t="str">
        <f t="shared" si="58"/>
        <v>Si</v>
      </c>
      <c r="AL155" s="862">
        <f t="shared" si="59"/>
        <v>99999.999999999985</v>
      </c>
    </row>
    <row r="156" spans="2:38" s="491" customFormat="1" ht="28.8" x14ac:dyDescent="0.3">
      <c r="B156" s="536" t="s">
        <v>814</v>
      </c>
      <c r="C156" s="582" t="s">
        <v>269</v>
      </c>
      <c r="D156" s="435"/>
      <c r="E156" s="435"/>
      <c r="F156" s="925" t="s">
        <v>1516</v>
      </c>
      <c r="G156" s="925"/>
      <c r="H156" s="405" t="s">
        <v>271</v>
      </c>
      <c r="I156" s="409">
        <v>50000</v>
      </c>
      <c r="J156" s="409">
        <v>50000</v>
      </c>
      <c r="K156" s="531">
        <v>46204</v>
      </c>
      <c r="L156" s="532">
        <v>46599</v>
      </c>
      <c r="M156" s="725"/>
      <c r="N156" s="718"/>
      <c r="O156" s="718"/>
      <c r="P156" s="718"/>
      <c r="Q156" s="718"/>
      <c r="R156" s="718"/>
      <c r="S156" s="591">
        <v>0</v>
      </c>
      <c r="T156" s="591">
        <v>10000</v>
      </c>
      <c r="U156" s="591">
        <v>0</v>
      </c>
      <c r="V156" s="591">
        <v>0</v>
      </c>
      <c r="W156" s="591">
        <v>0</v>
      </c>
      <c r="X156" s="598">
        <v>20000</v>
      </c>
      <c r="Y156" s="597">
        <v>0</v>
      </c>
      <c r="Z156" s="591">
        <v>0</v>
      </c>
      <c r="AA156" s="591">
        <v>0</v>
      </c>
      <c r="AB156" s="591">
        <v>10000</v>
      </c>
      <c r="AC156" s="591">
        <v>0</v>
      </c>
      <c r="AD156" s="591">
        <v>0</v>
      </c>
      <c r="AE156" s="591">
        <v>10000</v>
      </c>
      <c r="AF156" s="718"/>
      <c r="AG156" s="718"/>
      <c r="AH156" s="718"/>
      <c r="AI156" s="718"/>
      <c r="AJ156" s="726"/>
      <c r="AK156" s="860" t="str">
        <f t="shared" si="58"/>
        <v>Si</v>
      </c>
      <c r="AL156" s="862">
        <f t="shared" si="59"/>
        <v>50000</v>
      </c>
    </row>
    <row r="157" spans="2:38" s="491" customFormat="1" ht="57.6" x14ac:dyDescent="0.3">
      <c r="B157" s="407" t="s">
        <v>1387</v>
      </c>
      <c r="C157" s="435" t="s">
        <v>241</v>
      </c>
      <c r="D157" s="435"/>
      <c r="E157" s="435"/>
      <c r="F157" s="925" t="s">
        <v>1516</v>
      </c>
      <c r="G157" s="925"/>
      <c r="H157" s="405" t="s">
        <v>244</v>
      </c>
      <c r="I157" s="409">
        <v>50000</v>
      </c>
      <c r="J157" s="409">
        <v>50000</v>
      </c>
      <c r="K157" s="436">
        <v>46235</v>
      </c>
      <c r="L157" s="421">
        <v>46599</v>
      </c>
      <c r="M157" s="725"/>
      <c r="N157" s="718"/>
      <c r="O157" s="718"/>
      <c r="P157" s="718"/>
      <c r="Q157" s="718"/>
      <c r="R157" s="718"/>
      <c r="S157" s="718"/>
      <c r="T157" s="591">
        <v>10000</v>
      </c>
      <c r="U157" s="591">
        <v>0</v>
      </c>
      <c r="V157" s="591">
        <v>0</v>
      </c>
      <c r="W157" s="591">
        <v>0</v>
      </c>
      <c r="X157" s="598">
        <v>0</v>
      </c>
      <c r="Y157" s="597">
        <v>20000</v>
      </c>
      <c r="Z157" s="591">
        <v>0</v>
      </c>
      <c r="AA157" s="591">
        <v>0</v>
      </c>
      <c r="AB157" s="591">
        <v>0</v>
      </c>
      <c r="AC157" s="591">
        <v>10000</v>
      </c>
      <c r="AD157" s="591">
        <v>0</v>
      </c>
      <c r="AE157" s="591">
        <v>10000</v>
      </c>
      <c r="AF157" s="718"/>
      <c r="AG157" s="718"/>
      <c r="AH157" s="718"/>
      <c r="AI157" s="718"/>
      <c r="AJ157" s="726"/>
      <c r="AK157" s="860" t="str">
        <f t="shared" si="58"/>
        <v>Si</v>
      </c>
      <c r="AL157" s="862">
        <f t="shared" si="59"/>
        <v>50000</v>
      </c>
    </row>
    <row r="158" spans="2:38" s="491" customFormat="1" ht="28.8" x14ac:dyDescent="0.3">
      <c r="B158" s="407" t="s">
        <v>1387</v>
      </c>
      <c r="C158" s="435" t="s">
        <v>241</v>
      </c>
      <c r="D158" s="435"/>
      <c r="E158" s="435"/>
      <c r="F158" s="925" t="s">
        <v>1516</v>
      </c>
      <c r="G158" s="925"/>
      <c r="H158" s="405" t="s">
        <v>245</v>
      </c>
      <c r="I158" s="409">
        <v>50000</v>
      </c>
      <c r="J158" s="409">
        <v>50000</v>
      </c>
      <c r="K158" s="436">
        <v>46113</v>
      </c>
      <c r="L158" s="421">
        <v>46326</v>
      </c>
      <c r="M158" s="725"/>
      <c r="N158" s="718"/>
      <c r="O158" s="718"/>
      <c r="P158" s="591">
        <v>7142.8571428571431</v>
      </c>
      <c r="Q158" s="591">
        <v>7142.8571428571431</v>
      </c>
      <c r="R158" s="591">
        <v>7142.8571428571431</v>
      </c>
      <c r="S158" s="591">
        <v>7142.8571428571431</v>
      </c>
      <c r="T158" s="591">
        <v>7142.8571428571431</v>
      </c>
      <c r="U158" s="591">
        <v>7142.8571428571431</v>
      </c>
      <c r="V158" s="591">
        <v>7142.8571428571431</v>
      </c>
      <c r="W158" s="718"/>
      <c r="X158" s="726"/>
      <c r="Y158" s="725"/>
      <c r="Z158" s="718"/>
      <c r="AA158" s="718"/>
      <c r="AB158" s="718"/>
      <c r="AC158" s="718"/>
      <c r="AD158" s="718"/>
      <c r="AE158" s="718"/>
      <c r="AF158" s="718"/>
      <c r="AG158" s="718"/>
      <c r="AH158" s="718"/>
      <c r="AI158" s="718"/>
      <c r="AJ158" s="726"/>
      <c r="AK158" s="860" t="str">
        <f>IF(SUM(M158:AJ158)=J158,"Si","No")</f>
        <v>Si</v>
      </c>
      <c r="AL158" s="862">
        <f>+SUM(M158:AJ158)</f>
        <v>50000.000000000007</v>
      </c>
    </row>
    <row r="159" spans="2:38" s="491" customFormat="1" ht="28.8" x14ac:dyDescent="0.3">
      <c r="B159" s="407" t="s">
        <v>1387</v>
      </c>
      <c r="C159" s="435" t="s">
        <v>246</v>
      </c>
      <c r="D159" s="435"/>
      <c r="E159" s="435"/>
      <c r="F159" s="925" t="s">
        <v>1516</v>
      </c>
      <c r="G159" s="925"/>
      <c r="H159" s="405" t="s">
        <v>247</v>
      </c>
      <c r="I159" s="409">
        <v>50000</v>
      </c>
      <c r="J159" s="409">
        <v>50000</v>
      </c>
      <c r="K159" s="436">
        <v>46235</v>
      </c>
      <c r="L159" s="421">
        <v>46599</v>
      </c>
      <c r="M159" s="725"/>
      <c r="N159" s="718"/>
      <c r="O159" s="718"/>
      <c r="P159" s="718"/>
      <c r="Q159" s="718"/>
      <c r="R159" s="718"/>
      <c r="S159" s="718"/>
      <c r="T159" s="591">
        <v>10000</v>
      </c>
      <c r="U159" s="591">
        <v>0</v>
      </c>
      <c r="V159" s="591">
        <v>0</v>
      </c>
      <c r="W159" s="591">
        <v>0</v>
      </c>
      <c r="X159" s="598">
        <v>0</v>
      </c>
      <c r="Y159" s="597">
        <v>20000</v>
      </c>
      <c r="Z159" s="591">
        <v>0</v>
      </c>
      <c r="AA159" s="591">
        <v>0</v>
      </c>
      <c r="AB159" s="591">
        <v>0</v>
      </c>
      <c r="AC159" s="591">
        <v>10000</v>
      </c>
      <c r="AD159" s="591">
        <v>0</v>
      </c>
      <c r="AE159" s="591">
        <v>10000</v>
      </c>
      <c r="AF159" s="718"/>
      <c r="AG159" s="718"/>
      <c r="AH159" s="718"/>
      <c r="AI159" s="718"/>
      <c r="AJ159" s="726"/>
      <c r="AK159" s="860" t="str">
        <f t="shared" si="58"/>
        <v>Si</v>
      </c>
      <c r="AL159" s="862">
        <f t="shared" si="59"/>
        <v>50000</v>
      </c>
    </row>
    <row r="160" spans="2:38" s="491" customFormat="1" ht="43.2" x14ac:dyDescent="0.3">
      <c r="B160" s="407" t="s">
        <v>1387</v>
      </c>
      <c r="C160" s="435" t="s">
        <v>248</v>
      </c>
      <c r="D160" s="582"/>
      <c r="E160" s="582"/>
      <c r="F160" s="929" t="s">
        <v>1516</v>
      </c>
      <c r="G160" s="929"/>
      <c r="H160" s="405" t="s">
        <v>249</v>
      </c>
      <c r="I160" s="409">
        <v>50000</v>
      </c>
      <c r="J160" s="409">
        <v>50000</v>
      </c>
      <c r="K160" s="436">
        <v>46235</v>
      </c>
      <c r="L160" s="421">
        <v>46599</v>
      </c>
      <c r="M160" s="725"/>
      <c r="N160" s="718"/>
      <c r="O160" s="718"/>
      <c r="P160" s="718"/>
      <c r="Q160" s="718"/>
      <c r="R160" s="718"/>
      <c r="S160" s="718"/>
      <c r="T160" s="591">
        <v>10000</v>
      </c>
      <c r="U160" s="591">
        <v>0</v>
      </c>
      <c r="V160" s="591">
        <v>0</v>
      </c>
      <c r="W160" s="591">
        <v>0</v>
      </c>
      <c r="X160" s="598">
        <v>0</v>
      </c>
      <c r="Y160" s="597">
        <v>20000</v>
      </c>
      <c r="Z160" s="591">
        <v>0</v>
      </c>
      <c r="AA160" s="591">
        <v>0</v>
      </c>
      <c r="AB160" s="591">
        <v>0</v>
      </c>
      <c r="AC160" s="591">
        <v>10000</v>
      </c>
      <c r="AD160" s="591">
        <v>0</v>
      </c>
      <c r="AE160" s="591">
        <v>10000</v>
      </c>
      <c r="AF160" s="718"/>
      <c r="AG160" s="718"/>
      <c r="AH160" s="718"/>
      <c r="AI160" s="718"/>
      <c r="AJ160" s="726"/>
      <c r="AK160" s="860" t="str">
        <f t="shared" si="58"/>
        <v>Si</v>
      </c>
      <c r="AL160" s="862">
        <f t="shared" si="59"/>
        <v>50000</v>
      </c>
    </row>
    <row r="161" spans="2:38" s="491" customFormat="1" ht="28.8" x14ac:dyDescent="0.3">
      <c r="B161" s="407" t="s">
        <v>1387</v>
      </c>
      <c r="C161" s="435" t="s">
        <v>248</v>
      </c>
      <c r="D161" s="582"/>
      <c r="E161" s="582"/>
      <c r="F161" s="929" t="s">
        <v>1516</v>
      </c>
      <c r="G161" s="929"/>
      <c r="H161" s="405" t="s">
        <v>250</v>
      </c>
      <c r="I161" s="409">
        <v>50000</v>
      </c>
      <c r="J161" s="409">
        <v>50000</v>
      </c>
      <c r="K161" s="437">
        <v>46204</v>
      </c>
      <c r="L161" s="421">
        <v>46387</v>
      </c>
      <c r="M161" s="725"/>
      <c r="N161" s="718"/>
      <c r="O161" s="718"/>
      <c r="P161" s="718"/>
      <c r="Q161" s="718"/>
      <c r="R161" s="718"/>
      <c r="S161" s="591">
        <v>8333.3333333333339</v>
      </c>
      <c r="T161" s="591">
        <v>8333.3333333333339</v>
      </c>
      <c r="U161" s="591">
        <v>8333.3333333333339</v>
      </c>
      <c r="V161" s="591">
        <v>8333.3333333333339</v>
      </c>
      <c r="W161" s="591">
        <v>8333.3333333333339</v>
      </c>
      <c r="X161" s="598">
        <v>8333.3333333333339</v>
      </c>
      <c r="Y161" s="725"/>
      <c r="Z161" s="718"/>
      <c r="AA161" s="718"/>
      <c r="AB161" s="718"/>
      <c r="AC161" s="718"/>
      <c r="AD161" s="718"/>
      <c r="AE161" s="718"/>
      <c r="AF161" s="718"/>
      <c r="AG161" s="718"/>
      <c r="AH161" s="718"/>
      <c r="AI161" s="718"/>
      <c r="AJ161" s="726"/>
      <c r="AK161" s="860" t="str">
        <f t="shared" si="58"/>
        <v>Si</v>
      </c>
      <c r="AL161" s="862">
        <f t="shared" si="59"/>
        <v>50000.000000000007</v>
      </c>
    </row>
    <row r="162" spans="2:38" s="491" customFormat="1" ht="28.8" x14ac:dyDescent="0.3">
      <c r="B162" s="407" t="s">
        <v>1387</v>
      </c>
      <c r="C162" s="435" t="s">
        <v>252</v>
      </c>
      <c r="D162" s="582"/>
      <c r="E162" s="582"/>
      <c r="F162" s="929" t="s">
        <v>1516</v>
      </c>
      <c r="G162" s="929"/>
      <c r="H162" s="405" t="s">
        <v>253</v>
      </c>
      <c r="I162" s="409">
        <v>150000</v>
      </c>
      <c r="J162" s="409">
        <v>150000</v>
      </c>
      <c r="K162" s="437">
        <v>46235</v>
      </c>
      <c r="L162" s="421" t="s">
        <v>254</v>
      </c>
      <c r="M162" s="725"/>
      <c r="N162" s="718"/>
      <c r="O162" s="718"/>
      <c r="P162" s="718"/>
      <c r="Q162" s="718"/>
      <c r="R162" s="718"/>
      <c r="S162" s="718"/>
      <c r="T162" s="591">
        <v>35000</v>
      </c>
      <c r="U162" s="591">
        <v>0</v>
      </c>
      <c r="V162" s="591">
        <v>0</v>
      </c>
      <c r="W162" s="591">
        <v>0</v>
      </c>
      <c r="X162" s="598">
        <v>0</v>
      </c>
      <c r="Y162" s="597">
        <v>25000</v>
      </c>
      <c r="Z162" s="591">
        <v>0</v>
      </c>
      <c r="AA162" s="591">
        <v>0</v>
      </c>
      <c r="AB162" s="591">
        <v>0</v>
      </c>
      <c r="AC162" s="591">
        <v>45000</v>
      </c>
      <c r="AD162" s="591">
        <v>0</v>
      </c>
      <c r="AE162" s="591">
        <v>45000</v>
      </c>
      <c r="AF162" s="718"/>
      <c r="AG162" s="718"/>
      <c r="AH162" s="718"/>
      <c r="AI162" s="718"/>
      <c r="AJ162" s="726"/>
      <c r="AK162" s="860" t="str">
        <f t="shared" si="58"/>
        <v>Si</v>
      </c>
      <c r="AL162" s="862">
        <f t="shared" si="59"/>
        <v>150000</v>
      </c>
    </row>
    <row r="163" spans="2:38" s="491" customFormat="1" ht="28.8" x14ac:dyDescent="0.3">
      <c r="B163" s="536" t="s">
        <v>1387</v>
      </c>
      <c r="C163" s="582" t="s">
        <v>255</v>
      </c>
      <c r="D163" s="582"/>
      <c r="E163" s="582"/>
      <c r="F163" s="929" t="s">
        <v>1516</v>
      </c>
      <c r="G163" s="929"/>
      <c r="H163" s="405" t="s">
        <v>256</v>
      </c>
      <c r="I163" s="409">
        <v>175000</v>
      </c>
      <c r="J163" s="409">
        <v>175000</v>
      </c>
      <c r="K163" s="531">
        <v>46235</v>
      </c>
      <c r="L163" s="532">
        <v>46599</v>
      </c>
      <c r="M163" s="725"/>
      <c r="N163" s="718"/>
      <c r="O163" s="718"/>
      <c r="P163" s="718"/>
      <c r="Q163" s="718"/>
      <c r="R163" s="718"/>
      <c r="S163" s="718"/>
      <c r="T163" s="591">
        <v>35000</v>
      </c>
      <c r="U163" s="591">
        <v>0</v>
      </c>
      <c r="V163" s="591">
        <v>0</v>
      </c>
      <c r="W163" s="591">
        <v>0</v>
      </c>
      <c r="X163" s="598">
        <v>0</v>
      </c>
      <c r="Y163" s="597">
        <v>50000</v>
      </c>
      <c r="Z163" s="591">
        <v>0</v>
      </c>
      <c r="AA163" s="591">
        <v>0</v>
      </c>
      <c r="AB163" s="591">
        <v>0</v>
      </c>
      <c r="AC163" s="591">
        <v>45000</v>
      </c>
      <c r="AD163" s="591">
        <v>0</v>
      </c>
      <c r="AE163" s="591">
        <v>45000</v>
      </c>
      <c r="AF163" s="718"/>
      <c r="AG163" s="718"/>
      <c r="AH163" s="718"/>
      <c r="AI163" s="718"/>
      <c r="AJ163" s="726"/>
      <c r="AK163" s="860" t="str">
        <f t="shared" si="58"/>
        <v>Si</v>
      </c>
      <c r="AL163" s="862">
        <f t="shared" si="59"/>
        <v>175000</v>
      </c>
    </row>
    <row r="164" spans="2:38" s="491" customFormat="1" x14ac:dyDescent="0.3">
      <c r="B164" s="536" t="s">
        <v>1387</v>
      </c>
      <c r="C164" s="582" t="s">
        <v>255</v>
      </c>
      <c r="D164" s="582"/>
      <c r="E164" s="582"/>
      <c r="F164" s="929" t="s">
        <v>1516</v>
      </c>
      <c r="G164" s="929"/>
      <c r="H164" s="405" t="s">
        <v>257</v>
      </c>
      <c r="I164" s="409">
        <v>50000</v>
      </c>
      <c r="J164" s="409">
        <v>50000</v>
      </c>
      <c r="K164" s="531">
        <v>46388</v>
      </c>
      <c r="L164" s="532">
        <v>46599</v>
      </c>
      <c r="M164" s="727"/>
      <c r="N164" s="719"/>
      <c r="O164" s="719"/>
      <c r="P164" s="719"/>
      <c r="Q164" s="719"/>
      <c r="R164" s="719"/>
      <c r="S164" s="719"/>
      <c r="T164" s="718"/>
      <c r="U164" s="718"/>
      <c r="V164" s="718"/>
      <c r="W164" s="718"/>
      <c r="X164" s="726"/>
      <c r="Y164" s="597">
        <v>10000</v>
      </c>
      <c r="Z164" s="591">
        <v>6666.666666666667</v>
      </c>
      <c r="AA164" s="591">
        <v>6666.666666666667</v>
      </c>
      <c r="AB164" s="591">
        <v>6666.666666666667</v>
      </c>
      <c r="AC164" s="591">
        <v>6666.666666666667</v>
      </c>
      <c r="AD164" s="591">
        <v>6666.666666666667</v>
      </c>
      <c r="AE164" s="591">
        <v>6666.666666666667</v>
      </c>
      <c r="AF164" s="718"/>
      <c r="AG164" s="718"/>
      <c r="AH164" s="718"/>
      <c r="AI164" s="718"/>
      <c r="AJ164" s="726"/>
      <c r="AK164" s="860" t="str">
        <f t="shared" si="58"/>
        <v>Si</v>
      </c>
      <c r="AL164" s="862">
        <f t="shared" si="59"/>
        <v>50000</v>
      </c>
    </row>
    <row r="165" spans="2:38" s="491" customFormat="1" ht="28.8" x14ac:dyDescent="0.3">
      <c r="B165" s="536" t="s">
        <v>1387</v>
      </c>
      <c r="C165" s="582" t="s">
        <v>255</v>
      </c>
      <c r="D165" s="582"/>
      <c r="E165" s="582"/>
      <c r="F165" s="929" t="s">
        <v>1516</v>
      </c>
      <c r="G165" s="929"/>
      <c r="H165" s="405" t="s">
        <v>258</v>
      </c>
      <c r="I165" s="409">
        <v>175000</v>
      </c>
      <c r="J165" s="409">
        <v>175000</v>
      </c>
      <c r="K165" s="531">
        <v>46266</v>
      </c>
      <c r="L165" s="532">
        <v>46660</v>
      </c>
      <c r="M165" s="725"/>
      <c r="N165" s="718"/>
      <c r="O165" s="718"/>
      <c r="P165" s="718"/>
      <c r="Q165" s="718"/>
      <c r="R165" s="718"/>
      <c r="S165" s="718"/>
      <c r="T165" s="718"/>
      <c r="U165" s="591">
        <v>35000</v>
      </c>
      <c r="V165" s="591">
        <v>0</v>
      </c>
      <c r="W165" s="591">
        <v>0</v>
      </c>
      <c r="X165" s="598">
        <v>0</v>
      </c>
      <c r="Y165" s="597">
        <v>50000</v>
      </c>
      <c r="Z165" s="591">
        <v>0</v>
      </c>
      <c r="AA165" s="591">
        <v>0</v>
      </c>
      <c r="AB165" s="591">
        <v>0</v>
      </c>
      <c r="AC165" s="591">
        <v>45000</v>
      </c>
      <c r="AD165" s="591">
        <v>0</v>
      </c>
      <c r="AE165" s="591">
        <v>0</v>
      </c>
      <c r="AF165" s="591">
        <v>0</v>
      </c>
      <c r="AG165" s="591">
        <v>45000</v>
      </c>
      <c r="AH165" s="718"/>
      <c r="AI165" s="718"/>
      <c r="AJ165" s="726"/>
      <c r="AK165" s="860" t="str">
        <f t="shared" si="58"/>
        <v>Si</v>
      </c>
      <c r="AL165" s="862">
        <f t="shared" si="59"/>
        <v>175000</v>
      </c>
    </row>
    <row r="166" spans="2:38" s="491" customFormat="1" x14ac:dyDescent="0.3">
      <c r="B166" s="536" t="s">
        <v>1387</v>
      </c>
      <c r="C166" s="582" t="s">
        <v>255</v>
      </c>
      <c r="D166" s="582"/>
      <c r="E166" s="582"/>
      <c r="F166" s="929" t="s">
        <v>1516</v>
      </c>
      <c r="G166" s="929"/>
      <c r="H166" s="405" t="s">
        <v>259</v>
      </c>
      <c r="I166" s="409">
        <v>200000</v>
      </c>
      <c r="J166" s="409">
        <v>200000</v>
      </c>
      <c r="K166" s="531">
        <v>46204</v>
      </c>
      <c r="L166" s="532">
        <v>46599</v>
      </c>
      <c r="M166" s="725"/>
      <c r="N166" s="718"/>
      <c r="O166" s="718"/>
      <c r="P166" s="718"/>
      <c r="Q166" s="718"/>
      <c r="R166" s="718"/>
      <c r="S166" s="591">
        <v>40000</v>
      </c>
      <c r="T166" s="591">
        <v>0</v>
      </c>
      <c r="U166" s="591">
        <v>0</v>
      </c>
      <c r="V166" s="591">
        <v>0</v>
      </c>
      <c r="W166" s="591">
        <v>0</v>
      </c>
      <c r="X166" s="598">
        <v>20000</v>
      </c>
      <c r="Y166" s="597">
        <v>0</v>
      </c>
      <c r="Z166" s="591">
        <v>0</v>
      </c>
      <c r="AA166" s="591">
        <v>100000</v>
      </c>
      <c r="AB166" s="591">
        <v>0</v>
      </c>
      <c r="AC166" s="591">
        <v>0</v>
      </c>
      <c r="AD166" s="591">
        <v>0</v>
      </c>
      <c r="AE166" s="591">
        <v>40000</v>
      </c>
      <c r="AF166" s="718"/>
      <c r="AG166" s="718"/>
      <c r="AH166" s="718"/>
      <c r="AI166" s="718"/>
      <c r="AJ166" s="726"/>
      <c r="AK166" s="860" t="str">
        <f t="shared" si="58"/>
        <v>Si</v>
      </c>
      <c r="AL166" s="862">
        <f t="shared" si="59"/>
        <v>200000</v>
      </c>
    </row>
    <row r="167" spans="2:38" s="491" customFormat="1" ht="57.6" x14ac:dyDescent="0.3">
      <c r="B167" s="536" t="s">
        <v>1387</v>
      </c>
      <c r="C167" s="582" t="s">
        <v>248</v>
      </c>
      <c r="D167" s="582"/>
      <c r="E167" s="582"/>
      <c r="F167" s="929" t="s">
        <v>1516</v>
      </c>
      <c r="G167" s="929"/>
      <c r="H167" s="405" t="s">
        <v>260</v>
      </c>
      <c r="I167" s="409">
        <v>100000</v>
      </c>
      <c r="J167" s="409">
        <v>100000</v>
      </c>
      <c r="K167" s="531">
        <v>46204</v>
      </c>
      <c r="L167" s="532">
        <v>46326</v>
      </c>
      <c r="M167" s="725"/>
      <c r="N167" s="718"/>
      <c r="O167" s="718"/>
      <c r="P167" s="718"/>
      <c r="Q167" s="718"/>
      <c r="R167" s="718"/>
      <c r="S167" s="719"/>
      <c r="T167" s="719"/>
      <c r="U167" s="719"/>
      <c r="V167" s="719"/>
      <c r="W167" s="718"/>
      <c r="X167" s="726"/>
      <c r="Y167" s="597">
        <v>25000</v>
      </c>
      <c r="Z167" s="591">
        <v>25000</v>
      </c>
      <c r="AA167" s="591">
        <v>25000</v>
      </c>
      <c r="AB167" s="591">
        <v>25000</v>
      </c>
      <c r="AC167" s="718"/>
      <c r="AD167" s="718"/>
      <c r="AE167" s="718"/>
      <c r="AF167" s="718"/>
      <c r="AG167" s="718"/>
      <c r="AH167" s="718"/>
      <c r="AI167" s="718"/>
      <c r="AJ167" s="726"/>
      <c r="AK167" s="860" t="str">
        <f t="shared" si="58"/>
        <v>Si</v>
      </c>
      <c r="AL167" s="862">
        <f t="shared" si="59"/>
        <v>100000</v>
      </c>
    </row>
    <row r="168" spans="2:38" s="491" customFormat="1" ht="57.6" x14ac:dyDescent="0.3">
      <c r="B168" s="536" t="s">
        <v>1387</v>
      </c>
      <c r="C168" s="582" t="s">
        <v>261</v>
      </c>
      <c r="D168" s="582"/>
      <c r="E168" s="582"/>
      <c r="F168" s="929" t="s">
        <v>1516</v>
      </c>
      <c r="G168" s="929"/>
      <c r="H168" s="405" t="s">
        <v>262</v>
      </c>
      <c r="I168" s="409">
        <v>75000</v>
      </c>
      <c r="J168" s="409">
        <v>75000</v>
      </c>
      <c r="K168" s="531">
        <v>46204</v>
      </c>
      <c r="L168" s="532">
        <v>46326</v>
      </c>
      <c r="M168" s="725"/>
      <c r="N168" s="718"/>
      <c r="O168" s="718"/>
      <c r="P168" s="718"/>
      <c r="Q168" s="718"/>
      <c r="R168" s="718"/>
      <c r="S168" s="719"/>
      <c r="T168" s="719"/>
      <c r="U168" s="719"/>
      <c r="V168" s="719"/>
      <c r="W168" s="718"/>
      <c r="X168" s="726"/>
      <c r="Y168" s="597">
        <v>18750</v>
      </c>
      <c r="Z168" s="591">
        <v>18750</v>
      </c>
      <c r="AA168" s="591">
        <v>18750</v>
      </c>
      <c r="AB168" s="591">
        <v>18750</v>
      </c>
      <c r="AC168" s="718"/>
      <c r="AD168" s="718"/>
      <c r="AE168" s="718"/>
      <c r="AF168" s="718"/>
      <c r="AG168" s="718"/>
      <c r="AH168" s="718"/>
      <c r="AI168" s="718"/>
      <c r="AJ168" s="726"/>
      <c r="AK168" s="860" t="str">
        <f t="shared" si="58"/>
        <v>Si</v>
      </c>
      <c r="AL168" s="862">
        <f t="shared" si="59"/>
        <v>75000</v>
      </c>
    </row>
    <row r="169" spans="2:38" s="491" customFormat="1" ht="28.8" x14ac:dyDescent="0.3">
      <c r="B169" s="536" t="s">
        <v>1387</v>
      </c>
      <c r="C169" s="582" t="s">
        <v>261</v>
      </c>
      <c r="D169" s="582"/>
      <c r="E169" s="582"/>
      <c r="F169" s="929" t="s">
        <v>1516</v>
      </c>
      <c r="G169" s="929"/>
      <c r="H169" s="405" t="s">
        <v>263</v>
      </c>
      <c r="I169" s="409">
        <v>100000</v>
      </c>
      <c r="J169" s="409">
        <v>100000</v>
      </c>
      <c r="K169" s="531">
        <v>46388</v>
      </c>
      <c r="L169" s="532">
        <v>46599</v>
      </c>
      <c r="M169" s="725"/>
      <c r="N169" s="718"/>
      <c r="O169" s="718"/>
      <c r="P169" s="718"/>
      <c r="Q169" s="718"/>
      <c r="R169" s="718"/>
      <c r="S169" s="718"/>
      <c r="T169" s="718"/>
      <c r="U169" s="718"/>
      <c r="V169" s="718"/>
      <c r="W169" s="718"/>
      <c r="X169" s="726"/>
      <c r="Y169" s="597">
        <v>20000</v>
      </c>
      <c r="Z169" s="591">
        <v>0</v>
      </c>
      <c r="AA169" s="591">
        <v>0</v>
      </c>
      <c r="AB169" s="717">
        <v>55000</v>
      </c>
      <c r="AC169" s="591">
        <v>0</v>
      </c>
      <c r="AD169" s="591">
        <v>0</v>
      </c>
      <c r="AE169" s="717">
        <v>25000</v>
      </c>
      <c r="AF169" s="718"/>
      <c r="AG169" s="718"/>
      <c r="AH169" s="718"/>
      <c r="AI169" s="718"/>
      <c r="AJ169" s="726"/>
      <c r="AK169" s="860" t="str">
        <f t="shared" si="58"/>
        <v>Si</v>
      </c>
      <c r="AL169" s="862">
        <f t="shared" si="59"/>
        <v>100000</v>
      </c>
    </row>
    <row r="170" spans="2:38" s="491" customFormat="1" ht="28.8" x14ac:dyDescent="0.3">
      <c r="B170" s="536" t="s">
        <v>1387</v>
      </c>
      <c r="C170" s="582" t="s">
        <v>261</v>
      </c>
      <c r="D170" s="582"/>
      <c r="E170" s="582"/>
      <c r="F170" s="929" t="s">
        <v>1516</v>
      </c>
      <c r="G170" s="929"/>
      <c r="H170" s="405" t="s">
        <v>264</v>
      </c>
      <c r="I170" s="409">
        <v>50000</v>
      </c>
      <c r="J170" s="409">
        <v>50000</v>
      </c>
      <c r="K170" s="531">
        <v>46388</v>
      </c>
      <c r="L170" s="532">
        <v>46599</v>
      </c>
      <c r="M170" s="725"/>
      <c r="N170" s="718"/>
      <c r="O170" s="718"/>
      <c r="P170" s="718"/>
      <c r="Q170" s="718"/>
      <c r="R170" s="718"/>
      <c r="S170" s="718"/>
      <c r="T170" s="718"/>
      <c r="U170" s="718"/>
      <c r="V170" s="718"/>
      <c r="W170" s="718"/>
      <c r="X170" s="726"/>
      <c r="Y170" s="597">
        <v>10000</v>
      </c>
      <c r="Z170" s="591">
        <v>0</v>
      </c>
      <c r="AA170" s="591">
        <v>0</v>
      </c>
      <c r="AB170" s="591">
        <v>25000</v>
      </c>
      <c r="AC170" s="591">
        <v>0</v>
      </c>
      <c r="AD170" s="591">
        <v>0</v>
      </c>
      <c r="AE170" s="591">
        <v>15000</v>
      </c>
      <c r="AF170" s="718"/>
      <c r="AG170" s="718"/>
      <c r="AH170" s="718"/>
      <c r="AI170" s="718"/>
      <c r="AJ170" s="726"/>
      <c r="AK170" s="860" t="str">
        <f t="shared" si="58"/>
        <v>Si</v>
      </c>
      <c r="AL170" s="862">
        <f t="shared" si="59"/>
        <v>50000</v>
      </c>
    </row>
    <row r="171" spans="2:38" s="491" customFormat="1" ht="28.8" x14ac:dyDescent="0.3">
      <c r="B171" s="536" t="s">
        <v>1387</v>
      </c>
      <c r="C171" s="582" t="s">
        <v>265</v>
      </c>
      <c r="D171" s="582"/>
      <c r="E171" s="582"/>
      <c r="F171" s="929" t="s">
        <v>1516</v>
      </c>
      <c r="G171" s="929"/>
      <c r="H171" s="405" t="s">
        <v>266</v>
      </c>
      <c r="I171" s="409">
        <v>350000</v>
      </c>
      <c r="J171" s="409">
        <v>350000</v>
      </c>
      <c r="K171" s="531">
        <v>46388</v>
      </c>
      <c r="L171" s="532">
        <v>46599</v>
      </c>
      <c r="M171" s="725"/>
      <c r="N171" s="718"/>
      <c r="O171" s="718"/>
      <c r="P171" s="718"/>
      <c r="Q171" s="718"/>
      <c r="R171" s="718"/>
      <c r="S171" s="718"/>
      <c r="T171" s="718"/>
      <c r="U171" s="718"/>
      <c r="V171" s="718"/>
      <c r="W171" s="718"/>
      <c r="X171" s="726"/>
      <c r="Y171" s="597">
        <v>70000</v>
      </c>
      <c r="Z171" s="591">
        <v>0</v>
      </c>
      <c r="AA171" s="591">
        <v>0</v>
      </c>
      <c r="AB171" s="591">
        <v>230000</v>
      </c>
      <c r="AC171" s="591">
        <v>0</v>
      </c>
      <c r="AD171" s="591">
        <v>0</v>
      </c>
      <c r="AE171" s="591">
        <v>50000</v>
      </c>
      <c r="AF171" s="718"/>
      <c r="AG171" s="718"/>
      <c r="AH171" s="718"/>
      <c r="AI171" s="718"/>
      <c r="AJ171" s="726"/>
      <c r="AK171" s="860" t="str">
        <f t="shared" si="58"/>
        <v>Si</v>
      </c>
      <c r="AL171" s="862">
        <f t="shared" si="59"/>
        <v>350000</v>
      </c>
    </row>
    <row r="172" spans="2:38" s="491" customFormat="1" ht="28.8" x14ac:dyDescent="0.3">
      <c r="B172" s="536" t="s">
        <v>1387</v>
      </c>
      <c r="C172" s="582" t="s">
        <v>265</v>
      </c>
      <c r="D172" s="582"/>
      <c r="E172" s="582"/>
      <c r="F172" s="929" t="s">
        <v>1516</v>
      </c>
      <c r="G172" s="929"/>
      <c r="H172" s="405" t="s">
        <v>267</v>
      </c>
      <c r="I172" s="409">
        <v>125000</v>
      </c>
      <c r="J172" s="409">
        <v>125000</v>
      </c>
      <c r="K172" s="531">
        <v>46388</v>
      </c>
      <c r="L172" s="532">
        <v>46599</v>
      </c>
      <c r="M172" s="725"/>
      <c r="N172" s="718"/>
      <c r="O172" s="718"/>
      <c r="P172" s="718"/>
      <c r="Q172" s="718"/>
      <c r="R172" s="718"/>
      <c r="S172" s="718"/>
      <c r="T172" s="718"/>
      <c r="U172" s="718"/>
      <c r="V172" s="718"/>
      <c r="W172" s="718"/>
      <c r="X172" s="726"/>
      <c r="Y172" s="597">
        <v>25000</v>
      </c>
      <c r="Z172" s="591">
        <v>0</v>
      </c>
      <c r="AA172" s="591">
        <v>0</v>
      </c>
      <c r="AB172" s="591">
        <v>75000</v>
      </c>
      <c r="AC172" s="591">
        <v>0</v>
      </c>
      <c r="AD172" s="591">
        <v>0</v>
      </c>
      <c r="AE172" s="591">
        <v>25000</v>
      </c>
      <c r="AF172" s="718"/>
      <c r="AG172" s="718"/>
      <c r="AH172" s="718"/>
      <c r="AI172" s="718"/>
      <c r="AJ172" s="726"/>
      <c r="AK172" s="860" t="str">
        <f t="shared" si="58"/>
        <v>Si</v>
      </c>
      <c r="AL172" s="862">
        <f t="shared" si="59"/>
        <v>125000</v>
      </c>
    </row>
    <row r="173" spans="2:38" s="491" customFormat="1" ht="29.4" thickBot="1" x14ac:dyDescent="0.35">
      <c r="B173" s="537" t="s">
        <v>1387</v>
      </c>
      <c r="C173" s="583" t="s">
        <v>241</v>
      </c>
      <c r="D173" s="583"/>
      <c r="E173" s="583"/>
      <c r="F173" s="927" t="s">
        <v>1516</v>
      </c>
      <c r="G173" s="927"/>
      <c r="H173" s="427" t="s">
        <v>272</v>
      </c>
      <c r="I173" s="433">
        <v>200000</v>
      </c>
      <c r="J173" s="433">
        <v>200000</v>
      </c>
      <c r="K173" s="533">
        <v>46204</v>
      </c>
      <c r="L173" s="534">
        <v>46599</v>
      </c>
      <c r="M173" s="725"/>
      <c r="N173" s="718"/>
      <c r="O173" s="718"/>
      <c r="P173" s="718"/>
      <c r="Q173" s="718"/>
      <c r="R173" s="718"/>
      <c r="S173" s="718"/>
      <c r="T173" s="591">
        <v>40000</v>
      </c>
      <c r="U173" s="591">
        <v>0</v>
      </c>
      <c r="V173" s="591">
        <v>0</v>
      </c>
      <c r="W173" s="591">
        <v>0</v>
      </c>
      <c r="X173" s="598">
        <v>0</v>
      </c>
      <c r="Y173" s="922">
        <v>120000</v>
      </c>
      <c r="Z173" s="599">
        <v>0</v>
      </c>
      <c r="AA173" s="599">
        <v>0</v>
      </c>
      <c r="AB173" s="599">
        <v>0</v>
      </c>
      <c r="AC173" s="599">
        <v>0</v>
      </c>
      <c r="AD173" s="599">
        <v>0</v>
      </c>
      <c r="AE173" s="599">
        <v>40000</v>
      </c>
      <c r="AF173" s="728"/>
      <c r="AG173" s="728"/>
      <c r="AH173" s="728"/>
      <c r="AI173" s="728"/>
      <c r="AJ173" s="731"/>
      <c r="AK173" s="860" t="str">
        <f t="shared" si="58"/>
        <v>Si</v>
      </c>
      <c r="AL173" s="862">
        <f t="shared" si="59"/>
        <v>200000</v>
      </c>
    </row>
    <row r="174" spans="2:38" s="491" customFormat="1" ht="15" thickBot="1" x14ac:dyDescent="0.35">
      <c r="H174" s="462" t="s">
        <v>26</v>
      </c>
      <c r="I174" s="463">
        <f>SUM(I151:I173)</f>
        <v>2500000</v>
      </c>
      <c r="J174" s="709">
        <f>SUM(J151:J173)</f>
        <v>2480000</v>
      </c>
      <c r="K174" s="535"/>
      <c r="L174" s="535"/>
      <c r="M174" s="854">
        <f>+SUM(M151:M173)</f>
        <v>3333.3333333333335</v>
      </c>
      <c r="N174" s="855">
        <f t="shared" ref="N174:X174" si="60">+SUM(N151:N173)</f>
        <v>3333.3333333333335</v>
      </c>
      <c r="O174" s="855">
        <f t="shared" si="60"/>
        <v>3333.3333333333335</v>
      </c>
      <c r="P174" s="855">
        <f t="shared" si="60"/>
        <v>17619.047619047618</v>
      </c>
      <c r="Q174" s="855">
        <f t="shared" si="60"/>
        <v>17619.047619047618</v>
      </c>
      <c r="R174" s="855">
        <f t="shared" si="60"/>
        <v>17619.047619047618</v>
      </c>
      <c r="S174" s="855">
        <f t="shared" si="60"/>
        <v>68035.71428571429</v>
      </c>
      <c r="T174" s="855">
        <f t="shared" si="60"/>
        <v>198035.71428571429</v>
      </c>
      <c r="U174" s="855">
        <f t="shared" si="60"/>
        <v>63035.71428571429</v>
      </c>
      <c r="V174" s="855">
        <f t="shared" si="60"/>
        <v>28035.71428571429</v>
      </c>
      <c r="W174" s="855">
        <f t="shared" si="60"/>
        <v>13750.000000000002</v>
      </c>
      <c r="X174" s="856">
        <f t="shared" si="60"/>
        <v>53750</v>
      </c>
      <c r="Y174" s="919">
        <f>+SUM(Y151:Y173)</f>
        <v>542708.33333333337</v>
      </c>
      <c r="Z174" s="920">
        <f t="shared" ref="Z174:AJ174" si="61">+SUM(Z151:Z173)</f>
        <v>69375</v>
      </c>
      <c r="AA174" s="920">
        <f t="shared" si="61"/>
        <v>169375</v>
      </c>
      <c r="AB174" s="920">
        <f t="shared" si="61"/>
        <v>464375</v>
      </c>
      <c r="AC174" s="920">
        <f t="shared" si="61"/>
        <v>210625</v>
      </c>
      <c r="AD174" s="920">
        <f t="shared" si="61"/>
        <v>25625.000000000004</v>
      </c>
      <c r="AE174" s="920">
        <f t="shared" si="61"/>
        <v>370625</v>
      </c>
      <c r="AF174" s="920">
        <f t="shared" si="61"/>
        <v>18958.333333333336</v>
      </c>
      <c r="AG174" s="920">
        <f t="shared" si="61"/>
        <v>63958.333333333336</v>
      </c>
      <c r="AH174" s="920">
        <f t="shared" si="61"/>
        <v>18958.333333333336</v>
      </c>
      <c r="AI174" s="920">
        <f t="shared" si="61"/>
        <v>18958.333333333336</v>
      </c>
      <c r="AJ174" s="921">
        <f t="shared" si="61"/>
        <v>18958.333333333336</v>
      </c>
    </row>
    <row r="175" spans="2:38" ht="15" thickBot="1" x14ac:dyDescent="0.35">
      <c r="M175" s="971">
        <f>+SUM(M174:X174)</f>
        <v>487500</v>
      </c>
      <c r="N175" s="972"/>
      <c r="O175" s="972"/>
      <c r="P175" s="972"/>
      <c r="Q175" s="972"/>
      <c r="R175" s="972"/>
      <c r="S175" s="972"/>
      <c r="T175" s="972"/>
      <c r="U175" s="972"/>
      <c r="V175" s="972"/>
      <c r="W175" s="972"/>
      <c r="X175" s="973"/>
      <c r="Y175" s="971">
        <f>+SUM(Y174:AJ174)</f>
        <v>1992499.9999999998</v>
      </c>
      <c r="Z175" s="972"/>
      <c r="AA175" s="972"/>
      <c r="AB175" s="972"/>
      <c r="AC175" s="972"/>
      <c r="AD175" s="972"/>
      <c r="AE175" s="972"/>
      <c r="AF175" s="972"/>
      <c r="AG175" s="972"/>
      <c r="AH175" s="972"/>
      <c r="AI175" s="972"/>
      <c r="AJ175" s="973"/>
      <c r="AK175" s="860" t="str">
        <f>IF(SUM(M175:AJ175)=J174,"Si","No")</f>
        <v>Si</v>
      </c>
      <c r="AL175" s="862">
        <f t="shared" ref="AL175" si="62">+SUM(M175:AJ175)</f>
        <v>2480000</v>
      </c>
    </row>
    <row r="176" spans="2:38" ht="15" thickBot="1" x14ac:dyDescent="0.35">
      <c r="H176" s="467" t="s">
        <v>273</v>
      </c>
      <c r="I176" s="468">
        <f>+I148+I132+I116+I106+I83+I69+I37+I33+I27+I21+I16+I174+I120</f>
        <v>10837620.58</v>
      </c>
      <c r="J176" s="468">
        <f>+J148+J132+J116+J106+J83+J69+J37+J33+J27+J21+J16+J174+J120</f>
        <v>9702061.7922419533</v>
      </c>
      <c r="M176" s="1120">
        <f>+SUM(M174:O174,M148:O148,M132:O132,M120:O120,M116:O116,M106:O106,M83:O83,M69:O69,M37:O37,M33:O33,M27:O27,M21:O21,M16:O16)</f>
        <v>1289321.3443985917</v>
      </c>
      <c r="N176" s="1121"/>
      <c r="O176" s="1122"/>
      <c r="P176" s="1120">
        <f>+SUM(P174:R174,P148:R148,P132:R132,P120:R120,P116:R116,P106:R106,P83:R83,P69:R69,P37:R37,P33:R33,P27:R27,P21:R21,P16:R16)</f>
        <v>1273334.2886525597</v>
      </c>
      <c r="Q176" s="1121"/>
      <c r="R176" s="1122"/>
      <c r="S176" s="1120">
        <f>+SUM(S174:U174,S148:U148,S132:U132,S120:U120,S116:U116,S106:U106,S83:U83,S69:U69,S37:U37,S33:U33,S27:U27,S21:U21,S16:U16)</f>
        <v>1313587.4652557345</v>
      </c>
      <c r="T176" s="1121"/>
      <c r="U176" s="1122"/>
      <c r="V176" s="1120">
        <f>+SUM(V174:X174,V148:X148,V132:X132,V120:X120,V116:X116,V106:X106,V83:X83,V69:X69,V37:X37,V33:X33,V27:X27,V21:X21,V16:X16)</f>
        <v>600017.39482716296</v>
      </c>
      <c r="W176" s="1121"/>
      <c r="X176" s="1122"/>
      <c r="Y176" s="1120">
        <f>+SUM(Y174:AA174,Y148:AA148,Y132:AA132,Y120:AA120,Y116:AA116,Y106:AA106,Y83:AA83,Y69:AA69,Y37:AA37,Y33:AA33,Y27:AA27,Y21:AA21,Y16:AA16)</f>
        <v>2340018.6144462111</v>
      </c>
      <c r="Z176" s="1121"/>
      <c r="AA176" s="1122"/>
      <c r="AB176" s="1120">
        <f>+SUM(AB174:AD174,AB148:AD148,AB132:AD132,AB120:AD120,AB116:AD116,AB106:AD106,AB83:AD83,AB69:AD69,AB37:AD37,AB33:AD33,AB27:AD27,AB21:AD21,AB16:AD16)</f>
        <v>1530986.719126883</v>
      </c>
      <c r="AC176" s="1121"/>
      <c r="AD176" s="1122"/>
      <c r="AE176" s="1120">
        <f>+SUM(AE174:AG174,AE148:AG148,AE132:AG132,AE120:AG120,AE116:AG116,AE106:AG106,AE83:AG83,AE69:AG69,AE37:AG37,AE33:AG33,AE27:AG27,AE21:AG21,AE16:AG16)</f>
        <v>1085651.1398215606</v>
      </c>
      <c r="AF176" s="1121"/>
      <c r="AG176" s="1122"/>
      <c r="AH176" s="1120">
        <f>+SUM(AH174:AJ174,AH148:AJ148,AH132:AJ132,AH120:AJ120,AH116:AJ116,AH106:AJ106,AH83:AJ83,AH69:AJ69,AH37:AJ37,AH33:AJ33,AH27:AJ27,AH21:AJ21,AH16:AJ16)</f>
        <v>269144.82571325084</v>
      </c>
      <c r="AI176" s="1121"/>
      <c r="AJ176" s="1122"/>
    </row>
    <row r="177" spans="9:36" ht="15" thickBot="1" x14ac:dyDescent="0.35">
      <c r="M177" s="1128">
        <f>+SUM(M174:R174)+SUM(M148:R148,M132:R132,M120:R120,M116:R116,M106:R106,M83:R83,M69:R69,M37:R37,M33:R33,M27:R27,M21:R21,M16:R16)</f>
        <v>2562655.6330511514</v>
      </c>
      <c r="N177" s="1129"/>
      <c r="O177" s="1129"/>
      <c r="P177" s="1129"/>
      <c r="Q177" s="1129"/>
      <c r="R177" s="1130"/>
      <c r="S177" s="1128">
        <f>+SUM(S174:X174)+SUM(S148:X148,S132:X132,S120:X120,S116:X116,S106:X106,S83:X83,S69:X69,S37:X37,S33:X33,S27:X27,S21:X21,S16:X16)</f>
        <v>1913604.8600828974</v>
      </c>
      <c r="T177" s="1129"/>
      <c r="U177" s="1129"/>
      <c r="V177" s="1129"/>
      <c r="W177" s="1129"/>
      <c r="X177" s="1130"/>
      <c r="Y177" s="1128">
        <f>+SUM(Y174:AD174)+SUM(Y148:AD148,Y132:AD132,Y120:AD120,Y116:AD116,Y106:AD106,Y83:AD83,Y69:AD69,Y37:AD37,Y33:AD33,Y27:AD27,Y21:AD21,Y16:AD16)</f>
        <v>3871005.3335730932</v>
      </c>
      <c r="Z177" s="1129"/>
      <c r="AA177" s="1129"/>
      <c r="AB177" s="1129"/>
      <c r="AC177" s="1129"/>
      <c r="AD177" s="1130"/>
      <c r="AE177" s="1128">
        <f>+SUM(AE174:AJ174)+SUM(AE148:AJ148,AE132:AJ132,AE120:AJ120,AE116:AJ116,AE106:AJ106,AE83:AJ83,AE69:AJ69,AE37:AJ37,AE33:AJ33,AE27:AJ27,AE21:AJ21,AE16:AJ16)</f>
        <v>1354795.9655348116</v>
      </c>
      <c r="AF177" s="1129"/>
      <c r="AG177" s="1129"/>
      <c r="AH177" s="1129"/>
      <c r="AI177" s="1129"/>
      <c r="AJ177" s="1130"/>
    </row>
    <row r="178" spans="9:36" ht="15" thickBot="1" x14ac:dyDescent="0.35">
      <c r="I178" s="905" t="s">
        <v>1492</v>
      </c>
      <c r="J178" s="905" t="s">
        <v>1493</v>
      </c>
      <c r="K178" s="905" t="s">
        <v>1491</v>
      </c>
      <c r="M178" s="1125">
        <f>+SUM(M175,M149,M133,M117,M107,M84,M70,M38,M34,M28,M22,M17,M121)</f>
        <v>4476260.4931340497</v>
      </c>
      <c r="N178" s="1126"/>
      <c r="O178" s="1126"/>
      <c r="P178" s="1126"/>
      <c r="Q178" s="1126"/>
      <c r="R178" s="1126"/>
      <c r="S178" s="1126"/>
      <c r="T178" s="1126"/>
      <c r="U178" s="1126"/>
      <c r="V178" s="1126"/>
      <c r="W178" s="1126"/>
      <c r="X178" s="1127"/>
      <c r="Y178" s="1125">
        <f>+SUM(Y175,Y149,Y133,Y117,Y107,Y84,Y70,Y38,Y34,Y28,Y22,Y17)</f>
        <v>5225801.2991079055</v>
      </c>
      <c r="Z178" s="1126"/>
      <c r="AA178" s="1126"/>
      <c r="AB178" s="1126"/>
      <c r="AC178" s="1126"/>
      <c r="AD178" s="1126"/>
      <c r="AE178" s="1126"/>
      <c r="AF178" s="1126"/>
      <c r="AG178" s="1126"/>
      <c r="AH178" s="1126"/>
      <c r="AI178" s="1126"/>
      <c r="AJ178" s="1127"/>
    </row>
    <row r="179" spans="9:36" ht="15" thickBot="1" x14ac:dyDescent="0.35">
      <c r="I179" s="903">
        <v>4476856.6500763353</v>
      </c>
      <c r="J179" s="904">
        <f>+M178</f>
        <v>4476260.4931340497</v>
      </c>
      <c r="K179" s="903">
        <f>+I179-J179</f>
        <v>596.15694228559732</v>
      </c>
      <c r="M179" s="713"/>
      <c r="N179" s="714"/>
      <c r="O179" s="714"/>
      <c r="P179" s="714"/>
      <c r="Q179" s="714"/>
      <c r="R179" s="714"/>
      <c r="S179" s="714"/>
      <c r="T179" s="714"/>
      <c r="U179" s="714"/>
      <c r="V179" s="714"/>
      <c r="W179" s="714"/>
      <c r="X179" s="942">
        <f>+SUM(M178:AJ178)</f>
        <v>9702061.7922419552</v>
      </c>
      <c r="Y179" s="942"/>
      <c r="Z179" s="714"/>
      <c r="AA179" s="714"/>
      <c r="AB179" s="714"/>
      <c r="AC179" s="714"/>
      <c r="AD179" s="714"/>
      <c r="AE179" s="714"/>
      <c r="AF179" s="714"/>
      <c r="AG179" s="714"/>
      <c r="AH179" s="714"/>
      <c r="AI179" s="714"/>
      <c r="AJ179" s="715"/>
    </row>
    <row r="181" spans="9:36" ht="28.8" x14ac:dyDescent="0.3">
      <c r="I181" s="906" t="s">
        <v>1494</v>
      </c>
      <c r="J181" s="905" t="s">
        <v>1495</v>
      </c>
      <c r="K181" s="905" t="s">
        <v>1491</v>
      </c>
    </row>
    <row r="182" spans="9:36" x14ac:dyDescent="0.3">
      <c r="I182" s="903">
        <v>6693679.2426906209</v>
      </c>
      <c r="J182" s="904">
        <f>+Y178</f>
        <v>5225801.2991079055</v>
      </c>
      <c r="K182" s="903">
        <f>+I182-J182</f>
        <v>1467877.9435827155</v>
      </c>
      <c r="L182"/>
    </row>
    <row r="183" spans="9:36" x14ac:dyDescent="0.3">
      <c r="L183"/>
    </row>
    <row r="184" spans="9:36" x14ac:dyDescent="0.3">
      <c r="I184" s="902"/>
      <c r="J184" s="902"/>
      <c r="K184" s="902"/>
      <c r="L184" s="902"/>
    </row>
    <row r="185" spans="9:36" x14ac:dyDescent="0.3">
      <c r="L185"/>
    </row>
    <row r="186" spans="9:36" x14ac:dyDescent="0.3">
      <c r="L186"/>
      <c r="M186" s="902"/>
      <c r="N186" s="902"/>
      <c r="O186" s="902"/>
      <c r="P186" s="902"/>
      <c r="Q186" s="902"/>
      <c r="R186" s="902"/>
      <c r="S186" s="902"/>
      <c r="T186" s="902"/>
    </row>
    <row r="187" spans="9:36" x14ac:dyDescent="0.3">
      <c r="L187"/>
    </row>
    <row r="188" spans="9:36" x14ac:dyDescent="0.3">
      <c r="L188"/>
    </row>
    <row r="189" spans="9:36" x14ac:dyDescent="0.3">
      <c r="L189"/>
    </row>
    <row r="190" spans="9:36" x14ac:dyDescent="0.3">
      <c r="L190"/>
    </row>
    <row r="191" spans="9:36" x14ac:dyDescent="0.3">
      <c r="L191"/>
    </row>
    <row r="192" spans="9:36" x14ac:dyDescent="0.3">
      <c r="L192"/>
    </row>
  </sheetData>
  <mergeCells count="73">
    <mergeCell ref="B2:E11"/>
    <mergeCell ref="H2:L5"/>
    <mergeCell ref="H6:L8"/>
    <mergeCell ref="H9:L11"/>
    <mergeCell ref="M2:P11"/>
    <mergeCell ref="X179:Y179"/>
    <mergeCell ref="M118:X118"/>
    <mergeCell ref="Y118:AJ118"/>
    <mergeCell ref="M121:X121"/>
    <mergeCell ref="Y121:AJ121"/>
    <mergeCell ref="M178:X178"/>
    <mergeCell ref="Y178:AJ178"/>
    <mergeCell ref="Y122:AJ122"/>
    <mergeCell ref="M177:R177"/>
    <mergeCell ref="S177:X177"/>
    <mergeCell ref="Y177:AD177"/>
    <mergeCell ref="AE177:AJ177"/>
    <mergeCell ref="M176:O176"/>
    <mergeCell ref="P176:R176"/>
    <mergeCell ref="AH176:AJ176"/>
    <mergeCell ref="S176:U176"/>
    <mergeCell ref="M175:X175"/>
    <mergeCell ref="Y175:AJ175"/>
    <mergeCell ref="M133:X133"/>
    <mergeCell ref="Y133:AJ133"/>
    <mergeCell ref="M134:X134"/>
    <mergeCell ref="Y134:AJ134"/>
    <mergeCell ref="M149:X149"/>
    <mergeCell ref="Y149:AJ149"/>
    <mergeCell ref="M107:X107"/>
    <mergeCell ref="Y107:AJ107"/>
    <mergeCell ref="AK14:AL14"/>
    <mergeCell ref="M150:X150"/>
    <mergeCell ref="Y150:AJ150"/>
    <mergeCell ref="M108:X108"/>
    <mergeCell ref="Y108:AJ108"/>
    <mergeCell ref="M117:X117"/>
    <mergeCell ref="Y117:AJ117"/>
    <mergeCell ref="M122:X122"/>
    <mergeCell ref="M71:X71"/>
    <mergeCell ref="Y71:AJ71"/>
    <mergeCell ref="M84:X84"/>
    <mergeCell ref="Y84:AJ84"/>
    <mergeCell ref="M85:X85"/>
    <mergeCell ref="Y85:AJ85"/>
    <mergeCell ref="M38:X38"/>
    <mergeCell ref="Y38:AJ38"/>
    <mergeCell ref="M39:X39"/>
    <mergeCell ref="Y39:AJ39"/>
    <mergeCell ref="M70:X70"/>
    <mergeCell ref="Y70:AJ70"/>
    <mergeCell ref="M28:X28"/>
    <mergeCell ref="Y28:AJ28"/>
    <mergeCell ref="M34:X34"/>
    <mergeCell ref="Y34:AJ34"/>
    <mergeCell ref="M35:X35"/>
    <mergeCell ref="Y35:AJ35"/>
    <mergeCell ref="V176:X176"/>
    <mergeCell ref="Y176:AA176"/>
    <mergeCell ref="AB176:AD176"/>
    <mergeCell ref="AE176:AG176"/>
    <mergeCell ref="M13:X13"/>
    <mergeCell ref="Y13:AJ13"/>
    <mergeCell ref="M17:X17"/>
    <mergeCell ref="Y17:AJ17"/>
    <mergeCell ref="M18:X18"/>
    <mergeCell ref="Y18:AJ18"/>
    <mergeCell ref="M22:X22"/>
    <mergeCell ref="Y22:AJ22"/>
    <mergeCell ref="M23:X23"/>
    <mergeCell ref="Y23:AJ23"/>
    <mergeCell ref="M29:X29"/>
    <mergeCell ref="Y29:AJ29"/>
  </mergeCells>
  <phoneticPr fontId="8" type="noConversion"/>
  <conditionalFormatting sqref="AK15 AK86:AK105">
    <cfRule type="cellIs" dxfId="76" priority="77" operator="equal">
      <formula>"No"</formula>
    </cfRule>
    <cfRule type="cellIs" dxfId="75" priority="76" operator="equal">
      <formula>"Si"</formula>
    </cfRule>
  </conditionalFormatting>
  <conditionalFormatting sqref="AK15:AK17 AK86:AK105">
    <cfRule type="cellIs" dxfId="74" priority="75" operator="equal">
      <formula>"""Si"""</formula>
    </cfRule>
  </conditionalFormatting>
  <conditionalFormatting sqref="AK17">
    <cfRule type="cellIs" dxfId="73" priority="74" operator="equal">
      <formula>"No"</formula>
    </cfRule>
    <cfRule type="cellIs" dxfId="72" priority="73" operator="equal">
      <formula>"Si"</formula>
    </cfRule>
  </conditionalFormatting>
  <conditionalFormatting sqref="AK19:AK20">
    <cfRule type="cellIs" dxfId="71" priority="72" operator="equal">
      <formula>"No"</formula>
    </cfRule>
    <cfRule type="cellIs" dxfId="70" priority="70" operator="equal">
      <formula>"""Si"""</formula>
    </cfRule>
    <cfRule type="cellIs" dxfId="69" priority="71" operator="equal">
      <formula>"Si"</formula>
    </cfRule>
  </conditionalFormatting>
  <conditionalFormatting sqref="AK22">
    <cfRule type="cellIs" dxfId="68" priority="36" operator="equal">
      <formula>"""Si"""</formula>
    </cfRule>
    <cfRule type="cellIs" dxfId="67" priority="35" operator="equal">
      <formula>"No"</formula>
    </cfRule>
    <cfRule type="cellIs" dxfId="66" priority="34" operator="equal">
      <formula>"Si"</formula>
    </cfRule>
  </conditionalFormatting>
  <conditionalFormatting sqref="AK24:AK26">
    <cfRule type="cellIs" dxfId="65" priority="68" operator="equal">
      <formula>"Si"</formula>
    </cfRule>
    <cfRule type="cellIs" dxfId="64" priority="69" operator="equal">
      <formula>"No"</formula>
    </cfRule>
    <cfRule type="cellIs" dxfId="63" priority="67" operator="equal">
      <formula>"""Si"""</formula>
    </cfRule>
  </conditionalFormatting>
  <conditionalFormatting sqref="AK28">
    <cfRule type="cellIs" dxfId="62" priority="33" operator="equal">
      <formula>"""Si"""</formula>
    </cfRule>
    <cfRule type="cellIs" dxfId="61" priority="32" operator="equal">
      <formula>"No"</formula>
    </cfRule>
    <cfRule type="cellIs" dxfId="60" priority="31" operator="equal">
      <formula>"Si"</formula>
    </cfRule>
  </conditionalFormatting>
  <conditionalFormatting sqref="AK30:AK32">
    <cfRule type="cellIs" dxfId="59" priority="64" operator="equal">
      <formula>"""Si"""</formula>
    </cfRule>
    <cfRule type="cellIs" dxfId="58" priority="66" operator="equal">
      <formula>"No"</formula>
    </cfRule>
    <cfRule type="cellIs" dxfId="57" priority="65" operator="equal">
      <formula>"Si"</formula>
    </cfRule>
  </conditionalFormatting>
  <conditionalFormatting sqref="AK34">
    <cfRule type="cellIs" dxfId="56" priority="30" operator="equal">
      <formula>"""Si"""</formula>
    </cfRule>
    <cfRule type="cellIs" dxfId="55" priority="29" operator="equal">
      <formula>"No"</formula>
    </cfRule>
    <cfRule type="cellIs" dxfId="54" priority="28" operator="equal">
      <formula>"Si"</formula>
    </cfRule>
  </conditionalFormatting>
  <conditionalFormatting sqref="AK36">
    <cfRule type="cellIs" dxfId="53" priority="63" operator="equal">
      <formula>"No"</formula>
    </cfRule>
    <cfRule type="cellIs" dxfId="52" priority="62" operator="equal">
      <formula>"Si"</formula>
    </cfRule>
    <cfRule type="cellIs" dxfId="51" priority="61" operator="equal">
      <formula>"""Si"""</formula>
    </cfRule>
  </conditionalFormatting>
  <conditionalFormatting sqref="AK38">
    <cfRule type="cellIs" dxfId="50" priority="27" operator="equal">
      <formula>"""Si"""</formula>
    </cfRule>
    <cfRule type="cellIs" dxfId="49" priority="25" operator="equal">
      <formula>"Si"</formula>
    </cfRule>
    <cfRule type="cellIs" dxfId="48" priority="26" operator="equal">
      <formula>"No"</formula>
    </cfRule>
  </conditionalFormatting>
  <conditionalFormatting sqref="AK40:AK68">
    <cfRule type="cellIs" dxfId="47" priority="60" operator="equal">
      <formula>"No"</formula>
    </cfRule>
    <cfRule type="cellIs" dxfId="46" priority="58" operator="equal">
      <formula>"""Si"""</formula>
    </cfRule>
    <cfRule type="cellIs" dxfId="45" priority="59" operator="equal">
      <formula>"Si"</formula>
    </cfRule>
  </conditionalFormatting>
  <conditionalFormatting sqref="AK70">
    <cfRule type="cellIs" dxfId="44" priority="22" operator="equal">
      <formula>"Si"</formula>
    </cfRule>
    <cfRule type="cellIs" dxfId="43" priority="24" operator="equal">
      <formula>"""Si"""</formula>
    </cfRule>
    <cfRule type="cellIs" dxfId="42" priority="23" operator="equal">
      <formula>"No"</formula>
    </cfRule>
  </conditionalFormatting>
  <conditionalFormatting sqref="AK72:AK82">
    <cfRule type="cellIs" dxfId="41" priority="55" operator="equal">
      <formula>"""Si"""</formula>
    </cfRule>
    <cfRule type="cellIs" dxfId="40" priority="56" operator="equal">
      <formula>"Si"</formula>
    </cfRule>
    <cfRule type="cellIs" dxfId="39" priority="57" operator="equal">
      <formula>"No"</formula>
    </cfRule>
  </conditionalFormatting>
  <conditionalFormatting sqref="AK84">
    <cfRule type="cellIs" dxfId="38" priority="21" operator="equal">
      <formula>"""Si"""</formula>
    </cfRule>
    <cfRule type="cellIs" dxfId="37" priority="20" operator="equal">
      <formula>"No"</formula>
    </cfRule>
    <cfRule type="cellIs" dxfId="36" priority="19" operator="equal">
      <formula>"Si"</formula>
    </cfRule>
  </conditionalFormatting>
  <conditionalFormatting sqref="AK107">
    <cfRule type="cellIs" dxfId="35" priority="18" operator="equal">
      <formula>"""Si"""</formula>
    </cfRule>
    <cfRule type="cellIs" dxfId="34" priority="17" operator="equal">
      <formula>"No"</formula>
    </cfRule>
    <cfRule type="cellIs" dxfId="33" priority="16" operator="equal">
      <formula>"Si"</formula>
    </cfRule>
  </conditionalFormatting>
  <conditionalFormatting sqref="AK109:AK115">
    <cfRule type="cellIs" dxfId="32" priority="50" operator="equal">
      <formula>"Si"</formula>
    </cfRule>
    <cfRule type="cellIs" dxfId="31" priority="49" operator="equal">
      <formula>"""Si"""</formula>
    </cfRule>
    <cfRule type="cellIs" dxfId="30" priority="51" operator="equal">
      <formula>"No"</formula>
    </cfRule>
  </conditionalFormatting>
  <conditionalFormatting sqref="AK117">
    <cfRule type="cellIs" dxfId="29" priority="15" operator="equal">
      <formula>"""Si"""</formula>
    </cfRule>
    <cfRule type="cellIs" dxfId="28" priority="14" operator="equal">
      <formula>"No"</formula>
    </cfRule>
    <cfRule type="cellIs" dxfId="27" priority="13" operator="equal">
      <formula>"Si"</formula>
    </cfRule>
  </conditionalFormatting>
  <conditionalFormatting sqref="AK119">
    <cfRule type="cellIs" dxfId="26" priority="46" operator="equal">
      <formula>"""Si"""</formula>
    </cfRule>
    <cfRule type="cellIs" dxfId="25" priority="48" operator="equal">
      <formula>"No"</formula>
    </cfRule>
    <cfRule type="cellIs" dxfId="24" priority="47" operator="equal">
      <formula>"Si"</formula>
    </cfRule>
  </conditionalFormatting>
  <conditionalFormatting sqref="AK121">
    <cfRule type="cellIs" dxfId="23" priority="10" operator="equal">
      <formula>"Si"</formula>
    </cfRule>
    <cfRule type="cellIs" dxfId="22" priority="12" operator="equal">
      <formula>"""Si"""</formula>
    </cfRule>
    <cfRule type="cellIs" dxfId="21" priority="11" operator="equal">
      <formula>"No"</formula>
    </cfRule>
  </conditionalFormatting>
  <conditionalFormatting sqref="AK123:AK131">
    <cfRule type="cellIs" dxfId="20" priority="43" operator="equal">
      <formula>"""Si"""</formula>
    </cfRule>
    <cfRule type="cellIs" dxfId="19" priority="44" operator="equal">
      <formula>"Si"</formula>
    </cfRule>
    <cfRule type="cellIs" dxfId="18" priority="45" operator="equal">
      <formula>"No"</formula>
    </cfRule>
  </conditionalFormatting>
  <conditionalFormatting sqref="AK133">
    <cfRule type="cellIs" dxfId="17" priority="8" operator="equal">
      <formula>"No"</formula>
    </cfRule>
    <cfRule type="cellIs" dxfId="16" priority="7" operator="equal">
      <formula>"Si"</formula>
    </cfRule>
    <cfRule type="cellIs" dxfId="15" priority="9" operator="equal">
      <formula>"""Si"""</formula>
    </cfRule>
  </conditionalFormatting>
  <conditionalFormatting sqref="AK135:AK147">
    <cfRule type="cellIs" dxfId="14" priority="41" operator="equal">
      <formula>"Si"</formula>
    </cfRule>
    <cfRule type="cellIs" dxfId="13" priority="42" operator="equal">
      <formula>"No"</formula>
    </cfRule>
    <cfRule type="cellIs" dxfId="12" priority="40" operator="equal">
      <formula>"""Si"""</formula>
    </cfRule>
  </conditionalFormatting>
  <conditionalFormatting sqref="AK149">
    <cfRule type="cellIs" dxfId="11" priority="6" operator="equal">
      <formula>"""Si"""</formula>
    </cfRule>
    <cfRule type="cellIs" dxfId="10" priority="5" operator="equal">
      <formula>"No"</formula>
    </cfRule>
    <cfRule type="cellIs" dxfId="9" priority="4" operator="equal">
      <formula>"Si"</formula>
    </cfRule>
  </conditionalFormatting>
  <conditionalFormatting sqref="AK151:AK173">
    <cfRule type="cellIs" dxfId="8" priority="39" operator="equal">
      <formula>"No"</formula>
    </cfRule>
    <cfRule type="cellIs" dxfId="7" priority="38" operator="equal">
      <formula>"Si"</formula>
    </cfRule>
    <cfRule type="cellIs" dxfId="6" priority="37" operator="equal">
      <formula>"""Si"""</formula>
    </cfRule>
  </conditionalFormatting>
  <conditionalFormatting sqref="AK175">
    <cfRule type="cellIs" dxfId="5" priority="3" operator="equal">
      <formula>"""Si"""</formula>
    </cfRule>
    <cfRule type="cellIs" dxfId="4" priority="2" operator="equal">
      <formula>"No"</formula>
    </cfRule>
    <cfRule type="cellIs" dxfId="3" priority="1" operator="equal">
      <formula>"Si"</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B533-DB93-458C-9E0E-A8B61A466EBD}">
  <dimension ref="B1:T222"/>
  <sheetViews>
    <sheetView topLeftCell="A54" workbookViewId="0">
      <selection activeCell="G64" sqref="G64"/>
    </sheetView>
    <sheetView workbookViewId="1"/>
  </sheetViews>
  <sheetFormatPr baseColWidth="10" defaultColWidth="11.44140625" defaultRowHeight="15.6" x14ac:dyDescent="0.3"/>
  <cols>
    <col min="2" max="6" width="16.33203125" customWidth="1"/>
    <col min="7" max="7" width="34" style="181" bestFit="1" customWidth="1"/>
    <col min="8" max="11" width="22.5546875" style="181" customWidth="1"/>
    <col min="12" max="12" width="23.33203125" style="181" bestFit="1" customWidth="1"/>
    <col min="13" max="15" width="22.5546875" style="181" customWidth="1"/>
    <col min="16" max="16" width="20.33203125" style="180" customWidth="1"/>
    <col min="17" max="17" width="29.33203125" customWidth="1"/>
    <col min="18" max="18" width="19.5546875" customWidth="1"/>
    <col min="20" max="20" width="47.33203125" customWidth="1"/>
  </cols>
  <sheetData>
    <row r="1" spans="2:18" ht="16.2" thickBot="1" x14ac:dyDescent="0.35">
      <c r="B1" s="5"/>
      <c r="C1" s="5"/>
      <c r="D1" s="5"/>
      <c r="E1" s="5"/>
      <c r="F1" s="5"/>
      <c r="G1" s="200"/>
      <c r="H1" s="200"/>
      <c r="I1" s="200"/>
      <c r="J1" s="338" t="s">
        <v>826</v>
      </c>
      <c r="K1" s="232">
        <v>65.5</v>
      </c>
      <c r="L1" s="1182" t="s">
        <v>827</v>
      </c>
      <c r="M1" s="1183"/>
      <c r="N1" s="1184" t="s">
        <v>828</v>
      </c>
      <c r="O1" s="1185"/>
      <c r="P1" s="1186"/>
      <c r="Q1" s="339" t="s">
        <v>829</v>
      </c>
      <c r="R1" s="340" t="s">
        <v>830</v>
      </c>
    </row>
    <row r="2" spans="2:18" ht="44.4" customHeight="1" thickBot="1" x14ac:dyDescent="0.35">
      <c r="B2" s="1149" t="s">
        <v>831</v>
      </c>
      <c r="C2" s="1149"/>
      <c r="D2" s="1149"/>
      <c r="E2" s="1149"/>
      <c r="F2" s="1149"/>
      <c r="G2" s="330" t="s">
        <v>832</v>
      </c>
      <c r="H2" s="346" t="s">
        <v>833</v>
      </c>
      <c r="I2" s="346" t="s">
        <v>834</v>
      </c>
      <c r="J2" s="346" t="s">
        <v>835</v>
      </c>
      <c r="K2" s="346" t="s">
        <v>836</v>
      </c>
      <c r="L2" s="346" t="s">
        <v>837</v>
      </c>
      <c r="M2" s="331" t="s">
        <v>838</v>
      </c>
      <c r="N2" s="329" t="s">
        <v>839</v>
      </c>
      <c r="O2" s="330" t="s">
        <v>840</v>
      </c>
      <c r="P2" s="331" t="s">
        <v>838</v>
      </c>
      <c r="Q2" s="331" t="s">
        <v>838</v>
      </c>
      <c r="R2" s="331" t="s">
        <v>838</v>
      </c>
    </row>
    <row r="3" spans="2:18" ht="38.1" customHeight="1" x14ac:dyDescent="0.3">
      <c r="B3" s="1154" t="s">
        <v>841</v>
      </c>
      <c r="C3" s="1155"/>
      <c r="D3" s="1155"/>
      <c r="E3" s="1155"/>
      <c r="F3" s="1156"/>
      <c r="G3" s="240">
        <v>0</v>
      </c>
      <c r="H3" s="240">
        <v>15883568.75</v>
      </c>
      <c r="I3" s="240">
        <v>0</v>
      </c>
      <c r="J3" s="240">
        <v>0</v>
      </c>
      <c r="K3" s="240">
        <v>0</v>
      </c>
      <c r="L3" s="241">
        <v>15883568.75</v>
      </c>
      <c r="M3" s="242">
        <f>+L3/65.5</f>
        <v>242497.23282442748</v>
      </c>
      <c r="N3" s="209">
        <f>+SUM(N4)</f>
        <v>0</v>
      </c>
      <c r="O3" s="239">
        <f>+SUM(O4)</f>
        <v>0</v>
      </c>
      <c r="P3" s="210">
        <f>+SUM(P4)</f>
        <v>242497.23282442748</v>
      </c>
      <c r="Q3" s="210">
        <f>+Q4</f>
        <v>0</v>
      </c>
      <c r="R3" s="210">
        <f>+P3-Q3</f>
        <v>242497.23282442748</v>
      </c>
    </row>
    <row r="4" spans="2:18" ht="38.1" customHeight="1" x14ac:dyDescent="0.3">
      <c r="B4" s="184" t="s">
        <v>842</v>
      </c>
      <c r="C4" s="1157" t="s">
        <v>843</v>
      </c>
      <c r="D4" s="1157"/>
      <c r="E4" s="1157"/>
      <c r="F4" s="1158"/>
      <c r="G4" s="211">
        <v>0</v>
      </c>
      <c r="H4" s="211">
        <v>15883568.75</v>
      </c>
      <c r="I4" s="211">
        <v>0</v>
      </c>
      <c r="J4" s="211">
        <v>0</v>
      </c>
      <c r="K4" s="211">
        <v>0</v>
      </c>
      <c r="L4" s="212">
        <v>15883568.75</v>
      </c>
      <c r="M4" s="213">
        <f t="shared" ref="M4:M67" si="0">+L4/65.5</f>
        <v>242497.23282442748</v>
      </c>
      <c r="N4" s="243">
        <v>0</v>
      </c>
      <c r="O4" s="234">
        <v>0</v>
      </c>
      <c r="P4" s="203">
        <f>+M4+O4+N4</f>
        <v>242497.23282442748</v>
      </c>
      <c r="Q4" s="203">
        <v>0</v>
      </c>
      <c r="R4" s="203">
        <f t="shared" ref="R4:R67" si="1">+P4-Q4</f>
        <v>242497.23282442748</v>
      </c>
    </row>
    <row r="5" spans="2:18" ht="38.1" customHeight="1" x14ac:dyDescent="0.3">
      <c r="B5" s="1159" t="s">
        <v>844</v>
      </c>
      <c r="C5" s="1160"/>
      <c r="D5" s="1160"/>
      <c r="E5" s="1160"/>
      <c r="F5" s="1161"/>
      <c r="G5" s="206">
        <v>0</v>
      </c>
      <c r="H5" s="206">
        <v>4498226.33</v>
      </c>
      <c r="I5" s="206">
        <v>363912.69</v>
      </c>
      <c r="J5" s="206">
        <v>363912.69</v>
      </c>
      <c r="K5" s="206">
        <v>363912.69</v>
      </c>
      <c r="L5" s="207">
        <v>4134313.64</v>
      </c>
      <c r="M5" s="208">
        <f t="shared" si="0"/>
        <v>63119.29221374046</v>
      </c>
      <c r="N5" s="214">
        <f>+SUM(N6:N30)</f>
        <v>50000</v>
      </c>
      <c r="O5" s="233">
        <f>+SUM(O6:O30)</f>
        <v>-34694.65</v>
      </c>
      <c r="P5" s="215">
        <f>+SUM(P6:P30)</f>
        <v>78424.642213740444</v>
      </c>
      <c r="Q5" s="215">
        <f>+SUM(Q13:Q30)</f>
        <v>55054.99</v>
      </c>
      <c r="R5" s="215">
        <f t="shared" si="1"/>
        <v>23369.652213740446</v>
      </c>
    </row>
    <row r="6" spans="2:18" ht="38.1" customHeight="1" x14ac:dyDescent="0.3">
      <c r="B6" s="259" t="s">
        <v>845</v>
      </c>
      <c r="C6" s="1150" t="s">
        <v>846</v>
      </c>
      <c r="D6" s="1150"/>
      <c r="E6" s="1150"/>
      <c r="F6" s="1151"/>
      <c r="G6" s="260">
        <v>0</v>
      </c>
      <c r="H6" s="260">
        <v>0</v>
      </c>
      <c r="I6" s="260">
        <v>0</v>
      </c>
      <c r="J6" s="260">
        <v>0</v>
      </c>
      <c r="K6" s="260">
        <v>0</v>
      </c>
      <c r="L6" s="260">
        <v>0</v>
      </c>
      <c r="M6" s="328">
        <f t="shared" si="0"/>
        <v>0</v>
      </c>
      <c r="N6" s="264">
        <v>0</v>
      </c>
      <c r="O6" s="265">
        <v>0</v>
      </c>
      <c r="P6" s="263">
        <f t="shared" ref="P6:P30" si="2">+M6+O6+N6</f>
        <v>0</v>
      </c>
      <c r="Q6" s="263">
        <v>0</v>
      </c>
      <c r="R6" s="263">
        <f t="shared" si="1"/>
        <v>0</v>
      </c>
    </row>
    <row r="7" spans="2:18" ht="38.1" customHeight="1" x14ac:dyDescent="0.3">
      <c r="B7" s="259" t="s">
        <v>847</v>
      </c>
      <c r="C7" s="1150" t="s">
        <v>69</v>
      </c>
      <c r="D7" s="1150"/>
      <c r="E7" s="1150"/>
      <c r="F7" s="1151"/>
      <c r="G7" s="260">
        <v>0</v>
      </c>
      <c r="H7" s="260">
        <v>0</v>
      </c>
      <c r="I7" s="260">
        <v>0</v>
      </c>
      <c r="J7" s="260">
        <v>0</v>
      </c>
      <c r="K7" s="260">
        <v>0</v>
      </c>
      <c r="L7" s="260">
        <v>0</v>
      </c>
      <c r="M7" s="328">
        <f t="shared" si="0"/>
        <v>0</v>
      </c>
      <c r="N7" s="264">
        <v>0</v>
      </c>
      <c r="O7" s="265">
        <v>0</v>
      </c>
      <c r="P7" s="263">
        <f t="shared" si="2"/>
        <v>0</v>
      </c>
      <c r="Q7" s="263">
        <v>0</v>
      </c>
      <c r="R7" s="263">
        <f t="shared" si="1"/>
        <v>0</v>
      </c>
    </row>
    <row r="8" spans="2:18" ht="38.1" customHeight="1" x14ac:dyDescent="0.3">
      <c r="B8" s="259" t="s">
        <v>848</v>
      </c>
      <c r="C8" s="1150" t="s">
        <v>69</v>
      </c>
      <c r="D8" s="1150"/>
      <c r="E8" s="1150"/>
      <c r="F8" s="1151"/>
      <c r="G8" s="260">
        <v>0</v>
      </c>
      <c r="H8" s="260">
        <v>0</v>
      </c>
      <c r="I8" s="260">
        <v>0</v>
      </c>
      <c r="J8" s="260">
        <v>0</v>
      </c>
      <c r="K8" s="260">
        <v>0</v>
      </c>
      <c r="L8" s="260">
        <v>0</v>
      </c>
      <c r="M8" s="328">
        <f t="shared" si="0"/>
        <v>0</v>
      </c>
      <c r="N8" s="264">
        <v>0</v>
      </c>
      <c r="O8" s="265">
        <v>0</v>
      </c>
      <c r="P8" s="263">
        <f t="shared" si="2"/>
        <v>0</v>
      </c>
      <c r="Q8" s="263">
        <v>0</v>
      </c>
      <c r="R8" s="263">
        <f t="shared" si="1"/>
        <v>0</v>
      </c>
    </row>
    <row r="9" spans="2:18" ht="38.1" customHeight="1" x14ac:dyDescent="0.3">
      <c r="B9" s="259" t="s">
        <v>849</v>
      </c>
      <c r="C9" s="1150" t="s">
        <v>69</v>
      </c>
      <c r="D9" s="1150"/>
      <c r="E9" s="1150"/>
      <c r="F9" s="1151"/>
      <c r="G9" s="260">
        <v>0</v>
      </c>
      <c r="H9" s="260">
        <v>0</v>
      </c>
      <c r="I9" s="260">
        <v>0</v>
      </c>
      <c r="J9" s="260">
        <v>0</v>
      </c>
      <c r="K9" s="260">
        <v>0</v>
      </c>
      <c r="L9" s="260">
        <v>0</v>
      </c>
      <c r="M9" s="328">
        <f t="shared" si="0"/>
        <v>0</v>
      </c>
      <c r="N9" s="264">
        <v>0</v>
      </c>
      <c r="O9" s="265">
        <v>0</v>
      </c>
      <c r="P9" s="263">
        <f t="shared" si="2"/>
        <v>0</v>
      </c>
      <c r="Q9" s="263">
        <v>0</v>
      </c>
      <c r="R9" s="263">
        <f t="shared" si="1"/>
        <v>0</v>
      </c>
    </row>
    <row r="10" spans="2:18" ht="38.1" customHeight="1" x14ac:dyDescent="0.3">
      <c r="B10" s="259" t="s">
        <v>850</v>
      </c>
      <c r="C10" s="1150" t="s">
        <v>69</v>
      </c>
      <c r="D10" s="1150"/>
      <c r="E10" s="1150"/>
      <c r="F10" s="1151"/>
      <c r="G10" s="260">
        <v>0</v>
      </c>
      <c r="H10" s="260">
        <v>0</v>
      </c>
      <c r="I10" s="260">
        <v>0</v>
      </c>
      <c r="J10" s="260">
        <v>0</v>
      </c>
      <c r="K10" s="260">
        <v>0</v>
      </c>
      <c r="L10" s="260">
        <v>0</v>
      </c>
      <c r="M10" s="328">
        <f t="shared" si="0"/>
        <v>0</v>
      </c>
      <c r="N10" s="264">
        <v>0</v>
      </c>
      <c r="O10" s="265">
        <v>0</v>
      </c>
      <c r="P10" s="263">
        <f t="shared" si="2"/>
        <v>0</v>
      </c>
      <c r="Q10" s="263">
        <v>0</v>
      </c>
      <c r="R10" s="263">
        <f t="shared" si="1"/>
        <v>0</v>
      </c>
    </row>
    <row r="11" spans="2:18" ht="38.1" customHeight="1" x14ac:dyDescent="0.3">
      <c r="B11" s="259" t="s">
        <v>851</v>
      </c>
      <c r="C11" s="1150" t="s">
        <v>69</v>
      </c>
      <c r="D11" s="1150"/>
      <c r="E11" s="1150"/>
      <c r="F11" s="1151"/>
      <c r="G11" s="260">
        <v>0</v>
      </c>
      <c r="H11" s="260">
        <v>0</v>
      </c>
      <c r="I11" s="260">
        <v>0</v>
      </c>
      <c r="J11" s="260">
        <v>0</v>
      </c>
      <c r="K11" s="260">
        <v>0</v>
      </c>
      <c r="L11" s="260">
        <v>0</v>
      </c>
      <c r="M11" s="328">
        <f t="shared" si="0"/>
        <v>0</v>
      </c>
      <c r="N11" s="264">
        <v>0</v>
      </c>
      <c r="O11" s="265">
        <v>0</v>
      </c>
      <c r="P11" s="263">
        <f t="shared" si="2"/>
        <v>0</v>
      </c>
      <c r="Q11" s="263">
        <v>0</v>
      </c>
      <c r="R11" s="263">
        <f t="shared" si="1"/>
        <v>0</v>
      </c>
    </row>
    <row r="12" spans="2:18" ht="38.1" customHeight="1" x14ac:dyDescent="0.3">
      <c r="B12" s="259" t="s">
        <v>852</v>
      </c>
      <c r="C12" s="1150" t="s">
        <v>69</v>
      </c>
      <c r="D12" s="1150"/>
      <c r="E12" s="1150"/>
      <c r="F12" s="1151"/>
      <c r="G12" s="260">
        <v>0</v>
      </c>
      <c r="H12" s="260">
        <v>0</v>
      </c>
      <c r="I12" s="260">
        <v>0</v>
      </c>
      <c r="J12" s="260">
        <v>0</v>
      </c>
      <c r="K12" s="260">
        <v>0</v>
      </c>
      <c r="L12" s="260">
        <v>0</v>
      </c>
      <c r="M12" s="328">
        <f t="shared" si="0"/>
        <v>0</v>
      </c>
      <c r="N12" s="264">
        <v>0</v>
      </c>
      <c r="O12" s="265">
        <v>0</v>
      </c>
      <c r="P12" s="263">
        <f t="shared" si="2"/>
        <v>0</v>
      </c>
      <c r="Q12" s="263">
        <v>0</v>
      </c>
      <c r="R12" s="263">
        <f t="shared" si="1"/>
        <v>0</v>
      </c>
    </row>
    <row r="13" spans="2:18" ht="38.1" customHeight="1" x14ac:dyDescent="0.3">
      <c r="B13" s="185" t="s">
        <v>61</v>
      </c>
      <c r="C13" s="1152" t="s">
        <v>853</v>
      </c>
      <c r="D13" s="1152"/>
      <c r="E13" s="1152"/>
      <c r="F13" s="1153"/>
      <c r="G13" s="217">
        <v>0</v>
      </c>
      <c r="H13" s="217">
        <v>1041961.44</v>
      </c>
      <c r="I13" s="217">
        <v>0</v>
      </c>
      <c r="J13" s="217">
        <v>0</v>
      </c>
      <c r="K13" s="217">
        <v>0</v>
      </c>
      <c r="L13" s="219">
        <v>1041961.44</v>
      </c>
      <c r="M13" s="220">
        <f t="shared" si="0"/>
        <v>15907.808244274809</v>
      </c>
      <c r="N13" s="202">
        <v>50000</v>
      </c>
      <c r="O13" s="235">
        <v>0</v>
      </c>
      <c r="P13" s="205">
        <f t="shared" si="2"/>
        <v>65907.808244274813</v>
      </c>
      <c r="Q13" s="205">
        <v>50000</v>
      </c>
      <c r="R13" s="205">
        <f t="shared" si="1"/>
        <v>15907.808244274813</v>
      </c>
    </row>
    <row r="14" spans="2:18" ht="38.1" customHeight="1" x14ac:dyDescent="0.3">
      <c r="B14" s="259" t="s">
        <v>854</v>
      </c>
      <c r="C14" s="1150" t="s">
        <v>853</v>
      </c>
      <c r="D14" s="1150"/>
      <c r="E14" s="1150"/>
      <c r="F14" s="1151"/>
      <c r="G14" s="260">
        <v>0</v>
      </c>
      <c r="H14" s="260">
        <v>0</v>
      </c>
      <c r="I14" s="260">
        <v>0</v>
      </c>
      <c r="J14" s="260">
        <v>0</v>
      </c>
      <c r="K14" s="260">
        <v>0</v>
      </c>
      <c r="L14" s="260">
        <v>0</v>
      </c>
      <c r="M14" s="328">
        <f t="shared" si="0"/>
        <v>0</v>
      </c>
      <c r="N14" s="264">
        <v>0</v>
      </c>
      <c r="O14" s="265">
        <v>0</v>
      </c>
      <c r="P14" s="263">
        <f t="shared" si="2"/>
        <v>0</v>
      </c>
      <c r="Q14" s="263">
        <v>0</v>
      </c>
      <c r="R14" s="263">
        <f t="shared" si="1"/>
        <v>0</v>
      </c>
    </row>
    <row r="15" spans="2:18" ht="38.1" customHeight="1" x14ac:dyDescent="0.3">
      <c r="B15" s="259" t="s">
        <v>855</v>
      </c>
      <c r="C15" s="1150" t="s">
        <v>853</v>
      </c>
      <c r="D15" s="1150"/>
      <c r="E15" s="1150"/>
      <c r="F15" s="1151"/>
      <c r="G15" s="260">
        <v>0</v>
      </c>
      <c r="H15" s="260">
        <v>0</v>
      </c>
      <c r="I15" s="260">
        <v>0</v>
      </c>
      <c r="J15" s="260">
        <v>0</v>
      </c>
      <c r="K15" s="260">
        <v>0</v>
      </c>
      <c r="L15" s="260">
        <v>0</v>
      </c>
      <c r="M15" s="328">
        <f t="shared" si="0"/>
        <v>0</v>
      </c>
      <c r="N15" s="264">
        <v>0</v>
      </c>
      <c r="O15" s="265">
        <v>0</v>
      </c>
      <c r="P15" s="263">
        <f t="shared" si="2"/>
        <v>0</v>
      </c>
      <c r="Q15" s="263">
        <v>0</v>
      </c>
      <c r="R15" s="263">
        <f t="shared" si="1"/>
        <v>0</v>
      </c>
    </row>
    <row r="16" spans="2:18" ht="38.1" customHeight="1" x14ac:dyDescent="0.3">
      <c r="B16" s="259" t="s">
        <v>856</v>
      </c>
      <c r="C16" s="1150" t="s">
        <v>853</v>
      </c>
      <c r="D16" s="1150"/>
      <c r="E16" s="1150"/>
      <c r="F16" s="1151"/>
      <c r="G16" s="260">
        <v>0</v>
      </c>
      <c r="H16" s="260">
        <v>0</v>
      </c>
      <c r="I16" s="260">
        <v>0</v>
      </c>
      <c r="J16" s="260">
        <v>0</v>
      </c>
      <c r="K16" s="260">
        <v>0</v>
      </c>
      <c r="L16" s="260">
        <v>0</v>
      </c>
      <c r="M16" s="328">
        <f t="shared" si="0"/>
        <v>0</v>
      </c>
      <c r="N16" s="264">
        <v>0</v>
      </c>
      <c r="O16" s="265">
        <v>0</v>
      </c>
      <c r="P16" s="263">
        <f t="shared" si="2"/>
        <v>0</v>
      </c>
      <c r="Q16" s="263">
        <v>0</v>
      </c>
      <c r="R16" s="263">
        <f t="shared" si="1"/>
        <v>0</v>
      </c>
    </row>
    <row r="17" spans="2:18" ht="38.1" customHeight="1" x14ac:dyDescent="0.3">
      <c r="B17" s="259" t="s">
        <v>857</v>
      </c>
      <c r="C17" s="1150" t="s">
        <v>846</v>
      </c>
      <c r="D17" s="1150"/>
      <c r="E17" s="1150"/>
      <c r="F17" s="1151"/>
      <c r="G17" s="260">
        <v>0</v>
      </c>
      <c r="H17" s="260">
        <v>0</v>
      </c>
      <c r="I17" s="260">
        <v>0</v>
      </c>
      <c r="J17" s="260">
        <v>0</v>
      </c>
      <c r="K17" s="260">
        <v>0</v>
      </c>
      <c r="L17" s="260">
        <v>0</v>
      </c>
      <c r="M17" s="328">
        <f t="shared" si="0"/>
        <v>0</v>
      </c>
      <c r="N17" s="264">
        <v>0</v>
      </c>
      <c r="O17" s="265">
        <v>0</v>
      </c>
      <c r="P17" s="263">
        <f t="shared" si="2"/>
        <v>0</v>
      </c>
      <c r="Q17" s="263">
        <v>0</v>
      </c>
      <c r="R17" s="263">
        <f t="shared" si="1"/>
        <v>0</v>
      </c>
    </row>
    <row r="18" spans="2:18" ht="38.1" customHeight="1" x14ac:dyDescent="0.3">
      <c r="B18" s="184" t="s">
        <v>64</v>
      </c>
      <c r="C18" s="1157" t="s">
        <v>65</v>
      </c>
      <c r="D18" s="1157"/>
      <c r="E18" s="1157"/>
      <c r="F18" s="1158"/>
      <c r="G18" s="211">
        <v>0</v>
      </c>
      <c r="H18" s="211">
        <v>95301.67</v>
      </c>
      <c r="I18" s="211">
        <v>0</v>
      </c>
      <c r="J18" s="211">
        <v>0</v>
      </c>
      <c r="K18" s="211">
        <v>0</v>
      </c>
      <c r="L18" s="211">
        <v>95301.67</v>
      </c>
      <c r="M18" s="216">
        <f t="shared" si="0"/>
        <v>1454.9873282442747</v>
      </c>
      <c r="N18" s="201">
        <v>0</v>
      </c>
      <c r="O18" s="234">
        <v>0</v>
      </c>
      <c r="P18" s="203">
        <f t="shared" si="2"/>
        <v>1454.9873282442747</v>
      </c>
      <c r="Q18" s="203">
        <v>1454.99</v>
      </c>
      <c r="R18" s="203">
        <f t="shared" si="1"/>
        <v>-2.6717557252595725E-3</v>
      </c>
    </row>
    <row r="19" spans="2:18" ht="38.1" customHeight="1" x14ac:dyDescent="0.3">
      <c r="B19" s="259" t="s">
        <v>858</v>
      </c>
      <c r="C19" s="1150" t="s">
        <v>853</v>
      </c>
      <c r="D19" s="1150"/>
      <c r="E19" s="1150"/>
      <c r="F19" s="1151"/>
      <c r="G19" s="260">
        <v>0</v>
      </c>
      <c r="H19" s="260">
        <v>0</v>
      </c>
      <c r="I19" s="260">
        <v>0</v>
      </c>
      <c r="J19" s="260">
        <v>0</v>
      </c>
      <c r="K19" s="260">
        <v>0</v>
      </c>
      <c r="L19" s="260">
        <v>0</v>
      </c>
      <c r="M19" s="328">
        <f t="shared" si="0"/>
        <v>0</v>
      </c>
      <c r="N19" s="264">
        <v>0</v>
      </c>
      <c r="O19" s="265">
        <v>0</v>
      </c>
      <c r="P19" s="263">
        <f t="shared" si="2"/>
        <v>0</v>
      </c>
      <c r="Q19" s="263">
        <v>0</v>
      </c>
      <c r="R19" s="263">
        <f t="shared" si="1"/>
        <v>0</v>
      </c>
    </row>
    <row r="20" spans="2:18" ht="38.1" customHeight="1" x14ac:dyDescent="0.3">
      <c r="B20" s="259" t="s">
        <v>859</v>
      </c>
      <c r="C20" s="1150" t="s">
        <v>853</v>
      </c>
      <c r="D20" s="1150"/>
      <c r="E20" s="1150"/>
      <c r="F20" s="1151"/>
      <c r="G20" s="260">
        <v>0</v>
      </c>
      <c r="H20" s="260">
        <v>0</v>
      </c>
      <c r="I20" s="260">
        <v>0</v>
      </c>
      <c r="J20" s="260">
        <v>0</v>
      </c>
      <c r="K20" s="260">
        <v>0</v>
      </c>
      <c r="L20" s="260">
        <v>0</v>
      </c>
      <c r="M20" s="328">
        <f t="shared" si="0"/>
        <v>0</v>
      </c>
      <c r="N20" s="264">
        <v>0</v>
      </c>
      <c r="O20" s="265">
        <v>0</v>
      </c>
      <c r="P20" s="263">
        <f t="shared" si="2"/>
        <v>0</v>
      </c>
      <c r="Q20" s="263">
        <v>0</v>
      </c>
      <c r="R20" s="263">
        <f t="shared" si="1"/>
        <v>0</v>
      </c>
    </row>
    <row r="21" spans="2:18" ht="38.1" customHeight="1" x14ac:dyDescent="0.3">
      <c r="B21" s="259" t="s">
        <v>860</v>
      </c>
      <c r="C21" s="1150" t="s">
        <v>853</v>
      </c>
      <c r="D21" s="1150"/>
      <c r="E21" s="1150"/>
      <c r="F21" s="1151"/>
      <c r="G21" s="260">
        <v>0</v>
      </c>
      <c r="H21" s="260">
        <v>0</v>
      </c>
      <c r="I21" s="260">
        <v>0</v>
      </c>
      <c r="J21" s="260">
        <v>0</v>
      </c>
      <c r="K21" s="260">
        <v>0</v>
      </c>
      <c r="L21" s="260">
        <v>0</v>
      </c>
      <c r="M21" s="328">
        <f t="shared" si="0"/>
        <v>0</v>
      </c>
      <c r="N21" s="264">
        <v>0</v>
      </c>
      <c r="O21" s="265">
        <v>0</v>
      </c>
      <c r="P21" s="263">
        <f t="shared" si="2"/>
        <v>0</v>
      </c>
      <c r="Q21" s="263">
        <v>0</v>
      </c>
      <c r="R21" s="263">
        <f t="shared" si="1"/>
        <v>0</v>
      </c>
    </row>
    <row r="22" spans="2:18" ht="38.1" customHeight="1" x14ac:dyDescent="0.3">
      <c r="B22" s="259" t="s">
        <v>861</v>
      </c>
      <c r="C22" s="1150" t="s">
        <v>853</v>
      </c>
      <c r="D22" s="1150"/>
      <c r="E22" s="1150"/>
      <c r="F22" s="1151"/>
      <c r="G22" s="260">
        <v>0</v>
      </c>
      <c r="H22" s="260">
        <v>0</v>
      </c>
      <c r="I22" s="260">
        <v>0</v>
      </c>
      <c r="J22" s="260">
        <v>0</v>
      </c>
      <c r="K22" s="260">
        <v>0</v>
      </c>
      <c r="L22" s="260">
        <v>0</v>
      </c>
      <c r="M22" s="328">
        <f t="shared" si="0"/>
        <v>0</v>
      </c>
      <c r="N22" s="264">
        <v>0</v>
      </c>
      <c r="O22" s="265">
        <v>0</v>
      </c>
      <c r="P22" s="263">
        <f t="shared" si="2"/>
        <v>0</v>
      </c>
      <c r="Q22" s="263">
        <v>0</v>
      </c>
      <c r="R22" s="263">
        <f t="shared" si="1"/>
        <v>0</v>
      </c>
    </row>
    <row r="23" spans="2:18" ht="38.1" customHeight="1" x14ac:dyDescent="0.3">
      <c r="B23" s="185" t="s">
        <v>862</v>
      </c>
      <c r="C23" s="1152" t="s">
        <v>863</v>
      </c>
      <c r="D23" s="1152"/>
      <c r="E23" s="1152"/>
      <c r="F23" s="1153"/>
      <c r="G23" s="217">
        <v>0</v>
      </c>
      <c r="H23" s="217">
        <v>169424.62</v>
      </c>
      <c r="I23" s="217">
        <v>0</v>
      </c>
      <c r="J23" s="217">
        <v>0</v>
      </c>
      <c r="K23" s="217">
        <v>0</v>
      </c>
      <c r="L23" s="217">
        <v>169424.62</v>
      </c>
      <c r="M23" s="218">
        <f t="shared" si="0"/>
        <v>2586.6354198473282</v>
      </c>
      <c r="N23" s="202">
        <v>0</v>
      </c>
      <c r="O23" s="235">
        <v>0</v>
      </c>
      <c r="P23" s="205">
        <f t="shared" si="2"/>
        <v>2586.6354198473282</v>
      </c>
      <c r="Q23" s="205">
        <v>0</v>
      </c>
      <c r="R23" s="205">
        <f t="shared" si="1"/>
        <v>2586.6354198473282</v>
      </c>
    </row>
    <row r="24" spans="2:18" ht="38.1" customHeight="1" x14ac:dyDescent="0.3">
      <c r="B24" s="184" t="s">
        <v>864</v>
      </c>
      <c r="C24" s="1157" t="s">
        <v>865</v>
      </c>
      <c r="D24" s="1157"/>
      <c r="E24" s="1157"/>
      <c r="F24" s="1158"/>
      <c r="G24" s="211">
        <v>0</v>
      </c>
      <c r="H24" s="211">
        <v>70946.399999999994</v>
      </c>
      <c r="I24" s="211">
        <v>0</v>
      </c>
      <c r="J24" s="211">
        <v>0</v>
      </c>
      <c r="K24" s="211">
        <v>0</v>
      </c>
      <c r="L24" s="211">
        <v>70946.399999999994</v>
      </c>
      <c r="M24" s="216">
        <f t="shared" si="0"/>
        <v>1083.1511450381679</v>
      </c>
      <c r="N24" s="201">
        <v>0</v>
      </c>
      <c r="O24" s="234">
        <v>0</v>
      </c>
      <c r="P24" s="203">
        <f t="shared" si="2"/>
        <v>1083.1511450381679</v>
      </c>
      <c r="Q24" s="203">
        <v>0</v>
      </c>
      <c r="R24" s="203">
        <f t="shared" si="1"/>
        <v>1083.1511450381679</v>
      </c>
    </row>
    <row r="25" spans="2:18" ht="53.1" customHeight="1" x14ac:dyDescent="0.3">
      <c r="B25" s="185" t="s">
        <v>866</v>
      </c>
      <c r="C25" s="1152" t="s">
        <v>867</v>
      </c>
      <c r="D25" s="1162"/>
      <c r="E25" s="1162"/>
      <c r="F25" s="1163"/>
      <c r="G25" s="217">
        <v>0</v>
      </c>
      <c r="H25" s="217">
        <v>2641966.9900000002</v>
      </c>
      <c r="I25" s="217">
        <v>363912.69</v>
      </c>
      <c r="J25" s="217">
        <v>363912.69</v>
      </c>
      <c r="K25" s="217">
        <v>363912.69</v>
      </c>
      <c r="L25" s="219">
        <v>2278054.31</v>
      </c>
      <c r="M25" s="220">
        <f t="shared" si="0"/>
        <v>34779.45511450382</v>
      </c>
      <c r="N25" s="244">
        <v>0</v>
      </c>
      <c r="O25" s="235">
        <f>-27694.65-7000</f>
        <v>-34694.65</v>
      </c>
      <c r="P25" s="205">
        <f t="shared" si="2"/>
        <v>84.805114503818913</v>
      </c>
      <c r="Q25" s="205">
        <v>0</v>
      </c>
      <c r="R25" s="205">
        <f t="shared" si="1"/>
        <v>84.805114503818913</v>
      </c>
    </row>
    <row r="26" spans="2:18" ht="38.1" customHeight="1" x14ac:dyDescent="0.3">
      <c r="B26" s="184" t="s">
        <v>868</v>
      </c>
      <c r="C26" s="1157" t="s">
        <v>67</v>
      </c>
      <c r="D26" s="1157"/>
      <c r="E26" s="1157"/>
      <c r="F26" s="1158"/>
      <c r="G26" s="211">
        <v>0</v>
      </c>
      <c r="H26" s="211">
        <v>186367.72</v>
      </c>
      <c r="I26" s="211">
        <v>0</v>
      </c>
      <c r="J26" s="211">
        <v>0</v>
      </c>
      <c r="K26" s="211">
        <v>0</v>
      </c>
      <c r="L26" s="211">
        <v>186367.72</v>
      </c>
      <c r="M26" s="216">
        <f t="shared" si="0"/>
        <v>2845.3087022900763</v>
      </c>
      <c r="N26" s="243">
        <v>0</v>
      </c>
      <c r="O26" s="234">
        <v>0</v>
      </c>
      <c r="P26" s="203">
        <f t="shared" si="2"/>
        <v>2845.3087022900763</v>
      </c>
      <c r="Q26" s="203">
        <v>1500</v>
      </c>
      <c r="R26" s="203">
        <f t="shared" si="1"/>
        <v>1345.3087022900763</v>
      </c>
    </row>
    <row r="27" spans="2:18" ht="38.1" customHeight="1" x14ac:dyDescent="0.3">
      <c r="B27" s="259" t="s">
        <v>869</v>
      </c>
      <c r="C27" s="1150" t="s">
        <v>67</v>
      </c>
      <c r="D27" s="1150"/>
      <c r="E27" s="1150"/>
      <c r="F27" s="1151"/>
      <c r="G27" s="260">
        <v>0</v>
      </c>
      <c r="H27" s="260">
        <v>0</v>
      </c>
      <c r="I27" s="260">
        <v>0</v>
      </c>
      <c r="J27" s="260">
        <v>0</v>
      </c>
      <c r="K27" s="260">
        <v>0</v>
      </c>
      <c r="L27" s="260">
        <v>0</v>
      </c>
      <c r="M27" s="328">
        <f t="shared" si="0"/>
        <v>0</v>
      </c>
      <c r="N27" s="264">
        <v>0</v>
      </c>
      <c r="O27" s="265">
        <v>0</v>
      </c>
      <c r="P27" s="263">
        <f t="shared" si="2"/>
        <v>0</v>
      </c>
      <c r="Q27" s="263">
        <v>0</v>
      </c>
      <c r="R27" s="263">
        <f t="shared" si="1"/>
        <v>0</v>
      </c>
    </row>
    <row r="28" spans="2:18" ht="38.1" customHeight="1" x14ac:dyDescent="0.3">
      <c r="B28" s="259" t="s">
        <v>870</v>
      </c>
      <c r="C28" s="1150" t="s">
        <v>67</v>
      </c>
      <c r="D28" s="1150"/>
      <c r="E28" s="1150"/>
      <c r="F28" s="1151"/>
      <c r="G28" s="260">
        <v>0</v>
      </c>
      <c r="H28" s="260">
        <v>0</v>
      </c>
      <c r="I28" s="260">
        <v>0</v>
      </c>
      <c r="J28" s="260">
        <v>0</v>
      </c>
      <c r="K28" s="260">
        <v>0</v>
      </c>
      <c r="L28" s="260">
        <v>0</v>
      </c>
      <c r="M28" s="328">
        <f t="shared" si="0"/>
        <v>0</v>
      </c>
      <c r="N28" s="264">
        <v>0</v>
      </c>
      <c r="O28" s="265">
        <v>0</v>
      </c>
      <c r="P28" s="263">
        <f t="shared" si="2"/>
        <v>0</v>
      </c>
      <c r="Q28" s="263">
        <v>0</v>
      </c>
      <c r="R28" s="263">
        <f t="shared" si="1"/>
        <v>0</v>
      </c>
    </row>
    <row r="29" spans="2:18" ht="38.1" customHeight="1" x14ac:dyDescent="0.3">
      <c r="B29" s="185" t="s">
        <v>871</v>
      </c>
      <c r="C29" s="1152" t="s">
        <v>69</v>
      </c>
      <c r="D29" s="1152"/>
      <c r="E29" s="1152"/>
      <c r="F29" s="1153"/>
      <c r="G29" s="217">
        <v>0</v>
      </c>
      <c r="H29" s="217">
        <v>276374.08</v>
      </c>
      <c r="I29" s="217">
        <v>0</v>
      </c>
      <c r="J29" s="217">
        <v>0</v>
      </c>
      <c r="K29" s="217">
        <v>0</v>
      </c>
      <c r="L29" s="217">
        <v>276374.08</v>
      </c>
      <c r="M29" s="218">
        <f t="shared" si="0"/>
        <v>4219.4516030534351</v>
      </c>
      <c r="N29" s="244">
        <v>0</v>
      </c>
      <c r="O29" s="235">
        <v>0</v>
      </c>
      <c r="P29" s="205">
        <f t="shared" si="2"/>
        <v>4219.4516030534351</v>
      </c>
      <c r="Q29" s="205">
        <v>2100</v>
      </c>
      <c r="R29" s="205">
        <f t="shared" si="1"/>
        <v>2119.4516030534351</v>
      </c>
    </row>
    <row r="30" spans="2:18" ht="38.1" customHeight="1" x14ac:dyDescent="0.3">
      <c r="B30" s="184" t="s">
        <v>872</v>
      </c>
      <c r="C30" s="1157" t="s">
        <v>873</v>
      </c>
      <c r="D30" s="1157"/>
      <c r="E30" s="1157"/>
      <c r="F30" s="1158"/>
      <c r="G30" s="211">
        <v>0</v>
      </c>
      <c r="H30" s="211">
        <v>15883.4</v>
      </c>
      <c r="I30" s="211">
        <v>0</v>
      </c>
      <c r="J30" s="211">
        <v>0</v>
      </c>
      <c r="K30" s="211">
        <v>0</v>
      </c>
      <c r="L30" s="211">
        <v>15883.4</v>
      </c>
      <c r="M30" s="216">
        <f t="shared" si="0"/>
        <v>242.49465648854962</v>
      </c>
      <c r="N30" s="243">
        <v>0</v>
      </c>
      <c r="O30" s="234">
        <v>0</v>
      </c>
      <c r="P30" s="203">
        <f t="shared" si="2"/>
        <v>242.49465648854962</v>
      </c>
      <c r="Q30" s="203">
        <v>0</v>
      </c>
      <c r="R30" s="203">
        <f t="shared" si="1"/>
        <v>242.49465648854962</v>
      </c>
    </row>
    <row r="31" spans="2:18" ht="38.1" customHeight="1" x14ac:dyDescent="0.3">
      <c r="B31" s="259" t="s">
        <v>874</v>
      </c>
      <c r="C31" s="1150" t="s">
        <v>69</v>
      </c>
      <c r="D31" s="1150"/>
      <c r="E31" s="1150"/>
      <c r="F31" s="1151"/>
      <c r="G31" s="260">
        <v>0</v>
      </c>
      <c r="H31" s="260">
        <v>0</v>
      </c>
      <c r="I31" s="260">
        <v>0</v>
      </c>
      <c r="J31" s="260">
        <v>0</v>
      </c>
      <c r="K31" s="260">
        <v>0</v>
      </c>
      <c r="L31" s="260">
        <v>0</v>
      </c>
      <c r="M31" s="328">
        <f t="shared" si="0"/>
        <v>0</v>
      </c>
      <c r="N31" s="264">
        <v>0</v>
      </c>
      <c r="O31" s="265">
        <v>0</v>
      </c>
      <c r="P31" s="263">
        <v>0</v>
      </c>
      <c r="Q31" s="263">
        <v>0</v>
      </c>
      <c r="R31" s="263">
        <f t="shared" si="1"/>
        <v>0</v>
      </c>
    </row>
    <row r="32" spans="2:18" ht="38.1" customHeight="1" x14ac:dyDescent="0.3">
      <c r="B32" s="259" t="s">
        <v>875</v>
      </c>
      <c r="C32" s="1150" t="s">
        <v>69</v>
      </c>
      <c r="D32" s="1150"/>
      <c r="E32" s="1150"/>
      <c r="F32" s="1151"/>
      <c r="G32" s="260">
        <v>0</v>
      </c>
      <c r="H32" s="260">
        <v>0</v>
      </c>
      <c r="I32" s="260">
        <v>0</v>
      </c>
      <c r="J32" s="260">
        <v>0</v>
      </c>
      <c r="K32" s="260">
        <v>0</v>
      </c>
      <c r="L32" s="260">
        <v>0</v>
      </c>
      <c r="M32" s="328">
        <f t="shared" si="0"/>
        <v>0</v>
      </c>
      <c r="N32" s="264">
        <v>0</v>
      </c>
      <c r="O32" s="265">
        <v>0</v>
      </c>
      <c r="P32" s="263">
        <v>0</v>
      </c>
      <c r="Q32" s="263">
        <v>0</v>
      </c>
      <c r="R32" s="263">
        <f t="shared" si="1"/>
        <v>0</v>
      </c>
    </row>
    <row r="33" spans="2:18" ht="38.1" customHeight="1" x14ac:dyDescent="0.3">
      <c r="B33" s="1159" t="s">
        <v>876</v>
      </c>
      <c r="C33" s="1160"/>
      <c r="D33" s="1160"/>
      <c r="E33" s="1160"/>
      <c r="F33" s="1161"/>
      <c r="G33" s="206">
        <v>0</v>
      </c>
      <c r="H33" s="206">
        <v>13765759.029999999</v>
      </c>
      <c r="I33" s="206">
        <v>4284953.93</v>
      </c>
      <c r="J33" s="206">
        <v>4284953.93</v>
      </c>
      <c r="K33" s="206">
        <v>4284953.93</v>
      </c>
      <c r="L33" s="207">
        <v>9480805.0999999996</v>
      </c>
      <c r="M33" s="208">
        <f t="shared" si="0"/>
        <v>144745.11603053435</v>
      </c>
      <c r="N33" s="214">
        <f>+SUM(N34)</f>
        <v>0</v>
      </c>
      <c r="O33" s="233">
        <f>+SUM(O34)</f>
        <v>-136621.37</v>
      </c>
      <c r="P33" s="215">
        <f>+SUM(P34)</f>
        <v>8123.7460305343557</v>
      </c>
      <c r="Q33" s="215">
        <f>+Q34</f>
        <v>0</v>
      </c>
      <c r="R33" s="215">
        <f t="shared" si="1"/>
        <v>8123.7460305343557</v>
      </c>
    </row>
    <row r="34" spans="2:18" ht="38.1" customHeight="1" x14ac:dyDescent="0.3">
      <c r="B34" s="184" t="s">
        <v>877</v>
      </c>
      <c r="C34" s="1157" t="s">
        <v>878</v>
      </c>
      <c r="D34" s="1157"/>
      <c r="E34" s="1157"/>
      <c r="F34" s="1158"/>
      <c r="G34" s="211">
        <v>0</v>
      </c>
      <c r="H34" s="211">
        <v>13765759.029999999</v>
      </c>
      <c r="I34" s="211">
        <v>4284953.93</v>
      </c>
      <c r="J34" s="211">
        <v>4284953.93</v>
      </c>
      <c r="K34" s="211">
        <v>4284953.93</v>
      </c>
      <c r="L34" s="212">
        <v>9480805.0999999996</v>
      </c>
      <c r="M34" s="213">
        <f t="shared" si="0"/>
        <v>144745.11603053435</v>
      </c>
      <c r="N34" s="243">
        <v>0</v>
      </c>
      <c r="O34" s="236">
        <v>-136621.37</v>
      </c>
      <c r="P34" s="203">
        <f>+M34+O34+N34</f>
        <v>8123.7460305343557</v>
      </c>
      <c r="Q34" s="203">
        <v>0</v>
      </c>
      <c r="R34" s="203">
        <f t="shared" si="1"/>
        <v>8123.7460305343557</v>
      </c>
    </row>
    <row r="35" spans="2:18" ht="38.1" customHeight="1" x14ac:dyDescent="0.3">
      <c r="B35" s="1159" t="s">
        <v>879</v>
      </c>
      <c r="C35" s="1160"/>
      <c r="D35" s="1160"/>
      <c r="E35" s="1160"/>
      <c r="F35" s="1161"/>
      <c r="G35" s="206">
        <v>7220278.9299999997</v>
      </c>
      <c r="H35" s="206">
        <v>239147672.88999999</v>
      </c>
      <c r="I35" s="206">
        <v>37549465.43</v>
      </c>
      <c r="J35" s="206">
        <v>21255054.100000001</v>
      </c>
      <c r="K35" s="206">
        <v>17273405.719999999</v>
      </c>
      <c r="L35" s="207">
        <v>201598207.46000001</v>
      </c>
      <c r="M35" s="208">
        <f t="shared" si="0"/>
        <v>3077835.2283969466</v>
      </c>
      <c r="N35" s="214">
        <f>+SUM(N36:N75)</f>
        <v>1264366.95</v>
      </c>
      <c r="O35" s="233">
        <f>+SUM(O36:O75)</f>
        <v>-1245381.8400000001</v>
      </c>
      <c r="P35" s="215">
        <f>+SUM(P36:P75)</f>
        <v>3100825.2496946566</v>
      </c>
      <c r="Q35" s="215">
        <f>+SUM(Q36:Q75)</f>
        <v>1963055.64</v>
      </c>
      <c r="R35" s="215">
        <f t="shared" si="1"/>
        <v>1137769.6096946567</v>
      </c>
    </row>
    <row r="36" spans="2:18" ht="38.1" customHeight="1" x14ac:dyDescent="0.3">
      <c r="B36" s="184" t="s">
        <v>880</v>
      </c>
      <c r="C36" s="1157" t="s">
        <v>111</v>
      </c>
      <c r="D36" s="1157"/>
      <c r="E36" s="1157"/>
      <c r="F36" s="1158"/>
      <c r="G36" s="211">
        <v>0</v>
      </c>
      <c r="H36" s="211">
        <v>19139700</v>
      </c>
      <c r="I36" s="211">
        <v>0</v>
      </c>
      <c r="J36" s="211">
        <v>0</v>
      </c>
      <c r="K36" s="211">
        <v>0</v>
      </c>
      <c r="L36" s="212">
        <v>19139700</v>
      </c>
      <c r="M36" s="213">
        <f t="shared" si="0"/>
        <v>292209.16030534351</v>
      </c>
      <c r="N36" s="201">
        <v>0</v>
      </c>
      <c r="O36" s="234">
        <v>0</v>
      </c>
      <c r="P36" s="203">
        <f t="shared" ref="P36:P75" si="3">+M36+O36+N36</f>
        <v>292209.16030534351</v>
      </c>
      <c r="Q36" s="203">
        <v>0</v>
      </c>
      <c r="R36" s="203">
        <f t="shared" si="1"/>
        <v>292209.16030534351</v>
      </c>
    </row>
    <row r="37" spans="2:18" ht="38.1" customHeight="1" x14ac:dyDescent="0.3">
      <c r="B37" s="185" t="s">
        <v>881</v>
      </c>
      <c r="C37" s="1152" t="s">
        <v>71</v>
      </c>
      <c r="D37" s="1152"/>
      <c r="E37" s="1152"/>
      <c r="F37" s="1153"/>
      <c r="G37" s="217">
        <v>0</v>
      </c>
      <c r="H37" s="217">
        <v>929189.05</v>
      </c>
      <c r="I37" s="217">
        <v>123784.1</v>
      </c>
      <c r="J37" s="217">
        <v>123784.1</v>
      </c>
      <c r="K37" s="217">
        <v>123784.1</v>
      </c>
      <c r="L37" s="217">
        <v>805404.96</v>
      </c>
      <c r="M37" s="218">
        <f t="shared" si="0"/>
        <v>12296.258931297709</v>
      </c>
      <c r="N37" s="254">
        <v>50000</v>
      </c>
      <c r="O37" s="235">
        <v>0</v>
      </c>
      <c r="P37" s="204">
        <f t="shared" si="3"/>
        <v>62296.258931297707</v>
      </c>
      <c r="Q37" s="205">
        <v>25000</v>
      </c>
      <c r="R37" s="204">
        <f t="shared" si="1"/>
        <v>37296.258931297707</v>
      </c>
    </row>
    <row r="38" spans="2:18" ht="38.1" customHeight="1" x14ac:dyDescent="0.3">
      <c r="B38" s="184" t="s">
        <v>882</v>
      </c>
      <c r="C38" s="1157" t="s">
        <v>73</v>
      </c>
      <c r="D38" s="1157"/>
      <c r="E38" s="1157"/>
      <c r="F38" s="1158"/>
      <c r="G38" s="211">
        <v>0</v>
      </c>
      <c r="H38" s="211">
        <v>5103920</v>
      </c>
      <c r="I38" s="211">
        <v>0</v>
      </c>
      <c r="J38" s="211">
        <v>0</v>
      </c>
      <c r="K38" s="211">
        <v>0</v>
      </c>
      <c r="L38" s="212">
        <v>5103920</v>
      </c>
      <c r="M38" s="213">
        <f t="shared" si="0"/>
        <v>77922.442748091606</v>
      </c>
      <c r="N38" s="201">
        <v>0</v>
      </c>
      <c r="O38" s="234">
        <v>-50000</v>
      </c>
      <c r="P38" s="203">
        <f t="shared" si="3"/>
        <v>27922.442748091606</v>
      </c>
      <c r="Q38" s="203">
        <v>10000</v>
      </c>
      <c r="R38" s="203">
        <f t="shared" si="1"/>
        <v>17922.442748091606</v>
      </c>
    </row>
    <row r="39" spans="2:18" ht="38.1" customHeight="1" x14ac:dyDescent="0.3">
      <c r="B39" s="185" t="s">
        <v>883</v>
      </c>
      <c r="C39" s="1152" t="s">
        <v>884</v>
      </c>
      <c r="D39" s="1152"/>
      <c r="E39" s="1152"/>
      <c r="F39" s="1153"/>
      <c r="G39" s="217">
        <v>0</v>
      </c>
      <c r="H39" s="217">
        <v>10207840</v>
      </c>
      <c r="I39" s="217">
        <v>0</v>
      </c>
      <c r="J39" s="217">
        <v>0</v>
      </c>
      <c r="K39" s="217">
        <v>0</v>
      </c>
      <c r="L39" s="219">
        <v>10207840</v>
      </c>
      <c r="M39" s="220">
        <f t="shared" si="0"/>
        <v>155844.88549618321</v>
      </c>
      <c r="N39" s="202">
        <v>0</v>
      </c>
      <c r="O39" s="235">
        <v>0</v>
      </c>
      <c r="P39" s="205">
        <f t="shared" si="3"/>
        <v>155844.88549618321</v>
      </c>
      <c r="Q39" s="205">
        <v>75000</v>
      </c>
      <c r="R39" s="205">
        <f t="shared" si="1"/>
        <v>80844.885496183211</v>
      </c>
    </row>
    <row r="40" spans="2:18" ht="38.1" customHeight="1" x14ac:dyDescent="0.3">
      <c r="B40" s="184" t="s">
        <v>885</v>
      </c>
      <c r="C40" s="1157" t="s">
        <v>886</v>
      </c>
      <c r="D40" s="1157"/>
      <c r="E40" s="1157"/>
      <c r="F40" s="1158"/>
      <c r="G40" s="211">
        <v>0</v>
      </c>
      <c r="H40" s="211">
        <v>1058904.54</v>
      </c>
      <c r="I40" s="211">
        <v>861.92</v>
      </c>
      <c r="J40" s="211">
        <v>861.92</v>
      </c>
      <c r="K40" s="211">
        <v>861.92</v>
      </c>
      <c r="L40" s="212">
        <v>1058042.6200000001</v>
      </c>
      <c r="M40" s="213">
        <f t="shared" si="0"/>
        <v>16153.322442748093</v>
      </c>
      <c r="N40" s="253">
        <v>4041.62</v>
      </c>
      <c r="O40" s="234">
        <v>-6153.32</v>
      </c>
      <c r="P40" s="203">
        <f t="shared" si="3"/>
        <v>14041.622442748092</v>
      </c>
      <c r="Q40" s="203">
        <v>0</v>
      </c>
      <c r="R40" s="203">
        <f t="shared" si="1"/>
        <v>14041.622442748092</v>
      </c>
    </row>
    <row r="41" spans="2:18" ht="38.1" customHeight="1" x14ac:dyDescent="0.3">
      <c r="B41" s="185" t="s">
        <v>887</v>
      </c>
      <c r="C41" s="1152" t="s">
        <v>77</v>
      </c>
      <c r="D41" s="1152"/>
      <c r="E41" s="1152"/>
      <c r="F41" s="1153"/>
      <c r="G41" s="217">
        <v>0</v>
      </c>
      <c r="H41" s="217">
        <v>264726.28999999998</v>
      </c>
      <c r="I41" s="217">
        <v>161043.99</v>
      </c>
      <c r="J41" s="217">
        <v>161043.99</v>
      </c>
      <c r="K41" s="217">
        <v>161043.99</v>
      </c>
      <c r="L41" s="217">
        <v>103682.31</v>
      </c>
      <c r="M41" s="218">
        <f t="shared" si="0"/>
        <v>1582.9360305343512</v>
      </c>
      <c r="N41" s="202">
        <v>0</v>
      </c>
      <c r="O41" s="235">
        <v>0</v>
      </c>
      <c r="P41" s="204">
        <f t="shared" si="3"/>
        <v>1582.9360305343512</v>
      </c>
      <c r="Q41" s="205">
        <v>1582.94</v>
      </c>
      <c r="R41" s="204">
        <f t="shared" si="1"/>
        <v>-3.9694656488791225E-3</v>
      </c>
    </row>
    <row r="42" spans="2:18" ht="38.1" customHeight="1" x14ac:dyDescent="0.3">
      <c r="B42" s="259" t="s">
        <v>888</v>
      </c>
      <c r="C42" s="1150" t="s">
        <v>886</v>
      </c>
      <c r="D42" s="1150"/>
      <c r="E42" s="1150"/>
      <c r="F42" s="1151"/>
      <c r="G42" s="260">
        <v>0</v>
      </c>
      <c r="H42" s="260">
        <v>264726.28999999998</v>
      </c>
      <c r="I42" s="260">
        <v>0</v>
      </c>
      <c r="J42" s="260">
        <v>0</v>
      </c>
      <c r="K42" s="260">
        <v>0</v>
      </c>
      <c r="L42" s="260">
        <v>264726.28999999998</v>
      </c>
      <c r="M42" s="328">
        <f t="shared" si="0"/>
        <v>4041.6227480916027</v>
      </c>
      <c r="N42" s="264">
        <v>0</v>
      </c>
      <c r="O42" s="265">
        <v>-4041.62</v>
      </c>
      <c r="P42" s="341">
        <f t="shared" si="3"/>
        <v>2.7480916028252977E-3</v>
      </c>
      <c r="Q42" s="263">
        <v>0</v>
      </c>
      <c r="R42" s="341">
        <f t="shared" si="1"/>
        <v>2.7480916028252977E-3</v>
      </c>
    </row>
    <row r="43" spans="2:18" ht="38.1" customHeight="1" x14ac:dyDescent="0.3">
      <c r="B43" s="185" t="s">
        <v>889</v>
      </c>
      <c r="C43" s="1152" t="s">
        <v>890</v>
      </c>
      <c r="D43" s="1152"/>
      <c r="E43" s="1152"/>
      <c r="F43" s="1153"/>
      <c r="G43" s="217">
        <v>0</v>
      </c>
      <c r="H43" s="217">
        <v>264726.28999999998</v>
      </c>
      <c r="I43" s="217">
        <v>0</v>
      </c>
      <c r="J43" s="217">
        <v>0</v>
      </c>
      <c r="K43" s="217">
        <v>0</v>
      </c>
      <c r="L43" s="217">
        <v>264726.28999999998</v>
      </c>
      <c r="M43" s="218">
        <f t="shared" si="0"/>
        <v>4041.6227480916027</v>
      </c>
      <c r="N43" s="202">
        <v>0</v>
      </c>
      <c r="O43" s="235">
        <v>0</v>
      </c>
      <c r="P43" s="204">
        <f t="shared" si="3"/>
        <v>4041.6227480916027</v>
      </c>
      <c r="Q43" s="205">
        <v>0</v>
      </c>
      <c r="R43" s="204">
        <f t="shared" si="1"/>
        <v>4041.6227480916027</v>
      </c>
    </row>
    <row r="44" spans="2:18" ht="38.1" customHeight="1" x14ac:dyDescent="0.3">
      <c r="B44" s="184" t="s">
        <v>891</v>
      </c>
      <c r="C44" s="1157" t="s">
        <v>892</v>
      </c>
      <c r="D44" s="1157"/>
      <c r="E44" s="1157"/>
      <c r="F44" s="1158"/>
      <c r="G44" s="211">
        <v>0</v>
      </c>
      <c r="H44" s="211">
        <v>6681687.7699999996</v>
      </c>
      <c r="I44" s="211">
        <v>100919.81</v>
      </c>
      <c r="J44" s="211">
        <v>100919.81</v>
      </c>
      <c r="K44" s="211">
        <v>100919.81</v>
      </c>
      <c r="L44" s="212">
        <v>6580767.96</v>
      </c>
      <c r="M44" s="213">
        <f t="shared" si="0"/>
        <v>100469.73984732824</v>
      </c>
      <c r="N44" s="253">
        <f>4675.35+670.43</f>
        <v>5345.7800000000007</v>
      </c>
      <c r="O44" s="234">
        <v>-50000</v>
      </c>
      <c r="P44" s="203">
        <f t="shared" si="3"/>
        <v>55815.519847328236</v>
      </c>
      <c r="Q44" s="203">
        <v>25000</v>
      </c>
      <c r="R44" s="203">
        <f t="shared" si="1"/>
        <v>30815.519847328236</v>
      </c>
    </row>
    <row r="45" spans="2:18" ht="38.1" customHeight="1" x14ac:dyDescent="0.3">
      <c r="B45" s="259" t="s">
        <v>893</v>
      </c>
      <c r="C45" s="1150" t="s">
        <v>894</v>
      </c>
      <c r="D45" s="1150"/>
      <c r="E45" s="1150"/>
      <c r="F45" s="1151"/>
      <c r="G45" s="260">
        <v>0</v>
      </c>
      <c r="H45" s="260">
        <v>0</v>
      </c>
      <c r="I45" s="260">
        <v>0</v>
      </c>
      <c r="J45" s="260">
        <v>0</v>
      </c>
      <c r="K45" s="260">
        <v>0</v>
      </c>
      <c r="L45" s="260">
        <v>0</v>
      </c>
      <c r="M45" s="328">
        <f t="shared" si="0"/>
        <v>0</v>
      </c>
      <c r="N45" s="264">
        <v>0</v>
      </c>
      <c r="O45" s="265">
        <v>0</v>
      </c>
      <c r="P45" s="263">
        <f t="shared" si="3"/>
        <v>0</v>
      </c>
      <c r="Q45" s="263">
        <v>0</v>
      </c>
      <c r="R45" s="263">
        <f t="shared" si="1"/>
        <v>0</v>
      </c>
    </row>
    <row r="46" spans="2:18" ht="38.1" customHeight="1" x14ac:dyDescent="0.3">
      <c r="B46" s="184" t="s">
        <v>895</v>
      </c>
      <c r="C46" s="1157" t="s">
        <v>896</v>
      </c>
      <c r="D46" s="1157"/>
      <c r="E46" s="1157"/>
      <c r="F46" s="1158"/>
      <c r="G46" s="211">
        <v>0</v>
      </c>
      <c r="H46" s="211">
        <v>1906028.3</v>
      </c>
      <c r="I46" s="211">
        <v>0</v>
      </c>
      <c r="J46" s="211">
        <v>0</v>
      </c>
      <c r="K46" s="211">
        <v>0</v>
      </c>
      <c r="L46" s="212">
        <v>1906028.3</v>
      </c>
      <c r="M46" s="213">
        <f t="shared" si="0"/>
        <v>29099.668702290077</v>
      </c>
      <c r="N46" s="201">
        <v>0</v>
      </c>
      <c r="O46" s="234">
        <v>0</v>
      </c>
      <c r="P46" s="203">
        <f t="shared" si="3"/>
        <v>29099.668702290077</v>
      </c>
      <c r="Q46" s="203">
        <v>0</v>
      </c>
      <c r="R46" s="203">
        <f t="shared" si="1"/>
        <v>29099.668702290077</v>
      </c>
    </row>
    <row r="47" spans="2:18" ht="38.1" customHeight="1" x14ac:dyDescent="0.3">
      <c r="B47" s="185" t="s">
        <v>897</v>
      </c>
      <c r="C47" s="1152" t="s">
        <v>898</v>
      </c>
      <c r="D47" s="1152"/>
      <c r="E47" s="1152"/>
      <c r="F47" s="1153"/>
      <c r="G47" s="217">
        <v>0</v>
      </c>
      <c r="H47" s="217">
        <v>88947.93</v>
      </c>
      <c r="I47" s="217">
        <v>0</v>
      </c>
      <c r="J47" s="217">
        <v>0</v>
      </c>
      <c r="K47" s="217">
        <v>0</v>
      </c>
      <c r="L47" s="217">
        <v>88947.93</v>
      </c>
      <c r="M47" s="218">
        <f t="shared" si="0"/>
        <v>1357.9836641221373</v>
      </c>
      <c r="N47" s="202">
        <v>0</v>
      </c>
      <c r="O47" s="235">
        <v>0</v>
      </c>
      <c r="P47" s="204">
        <f t="shared" si="3"/>
        <v>1357.9836641221373</v>
      </c>
      <c r="Q47" s="205">
        <v>1357.98</v>
      </c>
      <c r="R47" s="204">
        <f t="shared" si="1"/>
        <v>3.6641221372519794E-3</v>
      </c>
    </row>
    <row r="48" spans="2:18" ht="38.1" customHeight="1" x14ac:dyDescent="0.3">
      <c r="B48" s="184" t="s">
        <v>899</v>
      </c>
      <c r="C48" s="1157" t="s">
        <v>900</v>
      </c>
      <c r="D48" s="1157"/>
      <c r="E48" s="1157"/>
      <c r="F48" s="1158"/>
      <c r="G48" s="211">
        <v>0</v>
      </c>
      <c r="H48" s="211">
        <v>2223699.4700000002</v>
      </c>
      <c r="I48" s="211">
        <v>46343.59</v>
      </c>
      <c r="J48" s="211">
        <v>46343.59</v>
      </c>
      <c r="K48" s="211">
        <v>46343.59</v>
      </c>
      <c r="L48" s="212">
        <v>2177355.88</v>
      </c>
      <c r="M48" s="213">
        <f t="shared" si="0"/>
        <v>33242.074503816795</v>
      </c>
      <c r="N48" s="201">
        <v>0</v>
      </c>
      <c r="O48" s="234">
        <v>0</v>
      </c>
      <c r="P48" s="203">
        <f t="shared" si="3"/>
        <v>33242.074503816795</v>
      </c>
      <c r="Q48" s="203">
        <v>0</v>
      </c>
      <c r="R48" s="203">
        <f t="shared" si="1"/>
        <v>33242.074503816795</v>
      </c>
    </row>
    <row r="49" spans="2:18" ht="38.1" customHeight="1" x14ac:dyDescent="0.3">
      <c r="B49" s="185" t="s">
        <v>901</v>
      </c>
      <c r="C49" s="1152" t="s">
        <v>83</v>
      </c>
      <c r="D49" s="1152"/>
      <c r="E49" s="1152"/>
      <c r="F49" s="1153"/>
      <c r="G49" s="217">
        <v>0</v>
      </c>
      <c r="H49" s="217">
        <v>1504703.24</v>
      </c>
      <c r="I49" s="217">
        <v>875093.88</v>
      </c>
      <c r="J49" s="217">
        <v>0</v>
      </c>
      <c r="K49" s="217">
        <v>0</v>
      </c>
      <c r="L49" s="219">
        <v>629609.36</v>
      </c>
      <c r="M49" s="220">
        <f t="shared" si="0"/>
        <v>9612.3566412213731</v>
      </c>
      <c r="N49" s="202">
        <v>0</v>
      </c>
      <c r="O49" s="235">
        <v>0</v>
      </c>
      <c r="P49" s="205">
        <f t="shared" si="3"/>
        <v>9612.3566412213731</v>
      </c>
      <c r="Q49" s="205">
        <v>9612.36</v>
      </c>
      <c r="R49" s="205">
        <f t="shared" si="1"/>
        <v>-3.3587786274438258E-3</v>
      </c>
    </row>
    <row r="50" spans="2:18" ht="38.1" customHeight="1" x14ac:dyDescent="0.3">
      <c r="B50" s="184" t="s">
        <v>902</v>
      </c>
      <c r="C50" s="1157" t="s">
        <v>69</v>
      </c>
      <c r="D50" s="1157"/>
      <c r="E50" s="1157"/>
      <c r="F50" s="1158"/>
      <c r="G50" s="211">
        <v>0</v>
      </c>
      <c r="H50" s="211">
        <v>74123.59</v>
      </c>
      <c r="I50" s="211">
        <v>0</v>
      </c>
      <c r="J50" s="211">
        <v>0</v>
      </c>
      <c r="K50" s="211">
        <v>0</v>
      </c>
      <c r="L50" s="212">
        <v>74123.59</v>
      </c>
      <c r="M50" s="213">
        <f t="shared" si="0"/>
        <v>1131.6578625954198</v>
      </c>
      <c r="N50" s="201">
        <v>0</v>
      </c>
      <c r="O50" s="234">
        <v>0</v>
      </c>
      <c r="P50" s="203">
        <f t="shared" si="3"/>
        <v>1131.6578625954198</v>
      </c>
      <c r="Q50" s="203">
        <v>1131.6600000000001</v>
      </c>
      <c r="R50" s="203">
        <f t="shared" si="1"/>
        <v>-2.1374045802531327E-3</v>
      </c>
    </row>
    <row r="51" spans="2:18" ht="38.1" customHeight="1" x14ac:dyDescent="0.3">
      <c r="B51" s="185" t="s">
        <v>903</v>
      </c>
      <c r="C51" s="1152" t="s">
        <v>904</v>
      </c>
      <c r="D51" s="1152"/>
      <c r="E51" s="1152"/>
      <c r="F51" s="1153"/>
      <c r="G51" s="217">
        <v>0</v>
      </c>
      <c r="H51" s="217">
        <v>476507.08</v>
      </c>
      <c r="I51" s="217">
        <v>0</v>
      </c>
      <c r="J51" s="217">
        <v>0</v>
      </c>
      <c r="K51" s="217">
        <v>0</v>
      </c>
      <c r="L51" s="219">
        <v>476507.08</v>
      </c>
      <c r="M51" s="220">
        <f t="shared" si="0"/>
        <v>7274.9172519083968</v>
      </c>
      <c r="N51" s="202">
        <v>0</v>
      </c>
      <c r="O51" s="235">
        <v>0</v>
      </c>
      <c r="P51" s="205">
        <f t="shared" si="3"/>
        <v>7274.9172519083968</v>
      </c>
      <c r="Q51" s="205">
        <v>4000</v>
      </c>
      <c r="R51" s="205">
        <f t="shared" si="1"/>
        <v>3274.9172519083968</v>
      </c>
    </row>
    <row r="52" spans="2:18" ht="38.1" customHeight="1" x14ac:dyDescent="0.3">
      <c r="B52" s="184" t="s">
        <v>905</v>
      </c>
      <c r="C52" s="1157" t="s">
        <v>87</v>
      </c>
      <c r="D52" s="1157"/>
      <c r="E52" s="1157"/>
      <c r="F52" s="1158"/>
      <c r="G52" s="211">
        <v>0</v>
      </c>
      <c r="H52" s="211">
        <v>762411.45</v>
      </c>
      <c r="I52" s="211">
        <v>0</v>
      </c>
      <c r="J52" s="211">
        <v>0</v>
      </c>
      <c r="K52" s="211">
        <v>0</v>
      </c>
      <c r="L52" s="212">
        <v>762411.45</v>
      </c>
      <c r="M52" s="213">
        <f t="shared" si="0"/>
        <v>11639.869465648855</v>
      </c>
      <c r="N52" s="201">
        <v>0</v>
      </c>
      <c r="O52" s="234">
        <v>0</v>
      </c>
      <c r="P52" s="203">
        <f t="shared" si="3"/>
        <v>11639.869465648855</v>
      </c>
      <c r="Q52" s="203">
        <v>3000</v>
      </c>
      <c r="R52" s="203">
        <f t="shared" si="1"/>
        <v>8639.8694656488551</v>
      </c>
    </row>
    <row r="53" spans="2:18" ht="38.1" customHeight="1" x14ac:dyDescent="0.3">
      <c r="B53" s="259" t="s">
        <v>906</v>
      </c>
      <c r="C53" s="1150" t="s">
        <v>907</v>
      </c>
      <c r="D53" s="1150"/>
      <c r="E53" s="1150"/>
      <c r="F53" s="1151"/>
      <c r="G53" s="260">
        <v>0</v>
      </c>
      <c r="H53" s="260">
        <v>0</v>
      </c>
      <c r="I53" s="260">
        <v>0</v>
      </c>
      <c r="J53" s="260">
        <v>0</v>
      </c>
      <c r="K53" s="260">
        <v>0</v>
      </c>
      <c r="L53" s="260">
        <v>0</v>
      </c>
      <c r="M53" s="328">
        <f t="shared" si="0"/>
        <v>0</v>
      </c>
      <c r="N53" s="264">
        <v>0</v>
      </c>
      <c r="O53" s="265">
        <v>0</v>
      </c>
      <c r="P53" s="263">
        <f t="shared" si="3"/>
        <v>0</v>
      </c>
      <c r="Q53" s="263">
        <v>0</v>
      </c>
      <c r="R53" s="263">
        <f t="shared" si="1"/>
        <v>0</v>
      </c>
    </row>
    <row r="54" spans="2:18" ht="38.1" customHeight="1" x14ac:dyDescent="0.3">
      <c r="B54" s="184" t="s">
        <v>908</v>
      </c>
      <c r="C54" s="1157" t="s">
        <v>89</v>
      </c>
      <c r="D54" s="1157"/>
      <c r="E54" s="1157"/>
      <c r="F54" s="1158"/>
      <c r="G54" s="211">
        <v>0</v>
      </c>
      <c r="H54" s="211">
        <v>3613511.56</v>
      </c>
      <c r="I54" s="211">
        <v>1005907.99</v>
      </c>
      <c r="J54" s="211">
        <v>1005907.99</v>
      </c>
      <c r="K54" s="211">
        <v>0</v>
      </c>
      <c r="L54" s="212">
        <v>2607603.5699999998</v>
      </c>
      <c r="M54" s="213">
        <f t="shared" si="0"/>
        <v>39810.741526717553</v>
      </c>
      <c r="N54" s="201">
        <v>0</v>
      </c>
      <c r="O54" s="234">
        <v>-19905.37</v>
      </c>
      <c r="P54" s="203">
        <f t="shared" si="3"/>
        <v>19905.371526717554</v>
      </c>
      <c r="Q54" s="203">
        <v>15000</v>
      </c>
      <c r="R54" s="203">
        <f t="shared" si="1"/>
        <v>4905.3715267175539</v>
      </c>
    </row>
    <row r="55" spans="2:18" ht="38.1" customHeight="1" x14ac:dyDescent="0.3">
      <c r="B55" s="185" t="s">
        <v>909</v>
      </c>
      <c r="C55" s="1152" t="s">
        <v>91</v>
      </c>
      <c r="D55" s="1152"/>
      <c r="E55" s="1152"/>
      <c r="F55" s="1153"/>
      <c r="G55" s="217">
        <v>88481.56</v>
      </c>
      <c r="H55" s="217">
        <v>4223907.22</v>
      </c>
      <c r="I55" s="217">
        <v>121370.58</v>
      </c>
      <c r="J55" s="217">
        <v>121370.58</v>
      </c>
      <c r="K55" s="217">
        <v>109535.23</v>
      </c>
      <c r="L55" s="219">
        <v>4102536.64</v>
      </c>
      <c r="M55" s="220">
        <f t="shared" si="0"/>
        <v>62634.147175572522</v>
      </c>
      <c r="N55" s="254">
        <v>19027.95</v>
      </c>
      <c r="O55" s="235">
        <v>0</v>
      </c>
      <c r="P55" s="205">
        <f t="shared" si="3"/>
        <v>81662.097175572519</v>
      </c>
      <c r="Q55" s="205">
        <v>40000</v>
      </c>
      <c r="R55" s="205">
        <f t="shared" si="1"/>
        <v>41662.097175572519</v>
      </c>
    </row>
    <row r="56" spans="2:18" ht="38.1" customHeight="1" x14ac:dyDescent="0.3">
      <c r="B56" s="259" t="s">
        <v>910</v>
      </c>
      <c r="C56" s="1150" t="s">
        <v>91</v>
      </c>
      <c r="D56" s="1150"/>
      <c r="E56" s="1150"/>
      <c r="F56" s="1151"/>
      <c r="G56" s="260">
        <v>0</v>
      </c>
      <c r="H56" s="260">
        <v>1246330.69</v>
      </c>
      <c r="I56" s="260">
        <v>0</v>
      </c>
      <c r="J56" s="260">
        <v>0</v>
      </c>
      <c r="K56" s="260">
        <v>0</v>
      </c>
      <c r="L56" s="261">
        <v>1246330.69</v>
      </c>
      <c r="M56" s="262">
        <f t="shared" si="0"/>
        <v>19027.949465648853</v>
      </c>
      <c r="N56" s="264">
        <v>0</v>
      </c>
      <c r="O56" s="265">
        <v>-19027.95</v>
      </c>
      <c r="P56" s="263">
        <f t="shared" si="3"/>
        <v>-5.3435114750755019E-4</v>
      </c>
      <c r="Q56" s="263">
        <v>0</v>
      </c>
      <c r="R56" s="263">
        <f t="shared" si="1"/>
        <v>-5.3435114750755019E-4</v>
      </c>
    </row>
    <row r="57" spans="2:18" ht="38.1" customHeight="1" x14ac:dyDescent="0.3">
      <c r="B57" s="185" t="s">
        <v>911</v>
      </c>
      <c r="C57" s="1152" t="s">
        <v>912</v>
      </c>
      <c r="D57" s="1152"/>
      <c r="E57" s="1152"/>
      <c r="F57" s="1153"/>
      <c r="G57" s="217">
        <v>0</v>
      </c>
      <c r="H57" s="217">
        <v>317671.17</v>
      </c>
      <c r="I57" s="217">
        <v>0</v>
      </c>
      <c r="J57" s="217">
        <v>0</v>
      </c>
      <c r="K57" s="217">
        <v>0</v>
      </c>
      <c r="L57" s="219">
        <v>317671.17</v>
      </c>
      <c r="M57" s="220">
        <f t="shared" si="0"/>
        <v>4849.9415267175573</v>
      </c>
      <c r="N57" s="202">
        <v>0</v>
      </c>
      <c r="O57" s="235">
        <v>0</v>
      </c>
      <c r="P57" s="205">
        <f t="shared" si="3"/>
        <v>4849.9415267175573</v>
      </c>
      <c r="Q57" s="205">
        <v>0</v>
      </c>
      <c r="R57" s="205">
        <f t="shared" si="1"/>
        <v>4849.9415267175573</v>
      </c>
    </row>
    <row r="58" spans="2:18" ht="38.1" customHeight="1" x14ac:dyDescent="0.3">
      <c r="B58" s="184" t="s">
        <v>913</v>
      </c>
      <c r="C58" s="1157" t="s">
        <v>914</v>
      </c>
      <c r="D58" s="1157"/>
      <c r="E58" s="1157"/>
      <c r="F58" s="1158"/>
      <c r="G58" s="211">
        <v>0</v>
      </c>
      <c r="H58" s="211">
        <v>1581738.62</v>
      </c>
      <c r="I58" s="211">
        <v>0</v>
      </c>
      <c r="J58" s="211">
        <v>0</v>
      </c>
      <c r="K58" s="211">
        <v>0</v>
      </c>
      <c r="L58" s="212">
        <v>1581738.62</v>
      </c>
      <c r="M58" s="213">
        <f t="shared" si="0"/>
        <v>24148.681221374049</v>
      </c>
      <c r="N58" s="201">
        <v>0</v>
      </c>
      <c r="O58" s="234">
        <v>0</v>
      </c>
      <c r="P58" s="203">
        <f t="shared" si="3"/>
        <v>24148.681221374049</v>
      </c>
      <c r="Q58" s="203">
        <v>0</v>
      </c>
      <c r="R58" s="203">
        <f t="shared" si="1"/>
        <v>24148.681221374049</v>
      </c>
    </row>
    <row r="59" spans="2:18" ht="38.1" customHeight="1" x14ac:dyDescent="0.3">
      <c r="B59" s="185" t="s">
        <v>915</v>
      </c>
      <c r="C59" s="1152" t="s">
        <v>916</v>
      </c>
      <c r="D59" s="1152"/>
      <c r="E59" s="1152"/>
      <c r="F59" s="1153"/>
      <c r="G59" s="217">
        <v>6433350.1600000001</v>
      </c>
      <c r="H59" s="217">
        <v>142592682.16</v>
      </c>
      <c r="I59" s="217">
        <v>30040890.309999999</v>
      </c>
      <c r="J59" s="217">
        <v>16397545.609999999</v>
      </c>
      <c r="K59" s="217">
        <v>14317976.369999999</v>
      </c>
      <c r="L59" s="219">
        <v>112551791.84999999</v>
      </c>
      <c r="M59" s="220">
        <f t="shared" si="0"/>
        <v>1718347.9671755724</v>
      </c>
      <c r="N59" s="254">
        <f>119578.95+50000+100000+37403.05+158836.55+300000+150000+6153.32+132717.86+126935.45</f>
        <v>1181625.18</v>
      </c>
      <c r="O59" s="235">
        <f>-480573.72-110334.08-350000-50000</f>
        <v>-990907.79999999993</v>
      </c>
      <c r="P59" s="205">
        <f t="shared" si="3"/>
        <v>1909065.3471755725</v>
      </c>
      <c r="Q59" s="205">
        <f>1140150+518100</f>
        <v>1658250</v>
      </c>
      <c r="R59" s="205">
        <f t="shared" si="1"/>
        <v>250815.34717557253</v>
      </c>
    </row>
    <row r="60" spans="2:18" ht="38.1" customHeight="1" x14ac:dyDescent="0.3">
      <c r="B60" s="184" t="s">
        <v>917</v>
      </c>
      <c r="C60" s="1157" t="s">
        <v>918</v>
      </c>
      <c r="D60" s="1157"/>
      <c r="E60" s="1157"/>
      <c r="F60" s="1158"/>
      <c r="G60" s="211">
        <v>698447.21</v>
      </c>
      <c r="H60" s="211">
        <v>15889291.52</v>
      </c>
      <c r="I60" s="211">
        <v>3292042.44</v>
      </c>
      <c r="J60" s="211">
        <v>1723755.83</v>
      </c>
      <c r="K60" s="211">
        <v>1673218.09</v>
      </c>
      <c r="L60" s="212">
        <v>12597249.08</v>
      </c>
      <c r="M60" s="213">
        <f t="shared" si="0"/>
        <v>192324.41343511452</v>
      </c>
      <c r="N60" s="201">
        <v>0</v>
      </c>
      <c r="O60" s="234">
        <v>0</v>
      </c>
      <c r="P60" s="203">
        <f t="shared" si="3"/>
        <v>192324.41343511452</v>
      </c>
      <c r="Q60" s="203">
        <v>25000</v>
      </c>
      <c r="R60" s="203">
        <f t="shared" si="1"/>
        <v>167324.41343511452</v>
      </c>
    </row>
    <row r="61" spans="2:18" ht="38.1" customHeight="1" x14ac:dyDescent="0.3">
      <c r="B61" s="185" t="s">
        <v>919</v>
      </c>
      <c r="C61" s="1152" t="s">
        <v>920</v>
      </c>
      <c r="D61" s="1152"/>
      <c r="E61" s="1152"/>
      <c r="F61" s="1153"/>
      <c r="G61" s="217">
        <v>0</v>
      </c>
      <c r="H61" s="217">
        <v>9569850</v>
      </c>
      <c r="I61" s="217">
        <v>804726.13</v>
      </c>
      <c r="J61" s="217">
        <v>804726.13</v>
      </c>
      <c r="K61" s="217">
        <v>0</v>
      </c>
      <c r="L61" s="219">
        <v>8765123.8699999992</v>
      </c>
      <c r="M61" s="220">
        <f t="shared" si="0"/>
        <v>133818.68503816793</v>
      </c>
      <c r="N61" s="202">
        <v>0</v>
      </c>
      <c r="O61" s="235">
        <v>-100000</v>
      </c>
      <c r="P61" s="205">
        <f t="shared" si="3"/>
        <v>33818.685038167925</v>
      </c>
      <c r="Q61" s="205">
        <v>15000</v>
      </c>
      <c r="R61" s="205">
        <f t="shared" si="1"/>
        <v>18818.685038167925</v>
      </c>
    </row>
    <row r="62" spans="2:18" ht="38.1" customHeight="1" x14ac:dyDescent="0.3">
      <c r="B62" s="379" t="s">
        <v>921</v>
      </c>
      <c r="C62" s="1164" t="s">
        <v>922</v>
      </c>
      <c r="D62" s="1164"/>
      <c r="E62" s="1164"/>
      <c r="F62" s="1165"/>
      <c r="G62" s="380">
        <v>0</v>
      </c>
      <c r="H62" s="380">
        <v>0</v>
      </c>
      <c r="I62" s="380">
        <v>0</v>
      </c>
      <c r="J62" s="380">
        <v>0</v>
      </c>
      <c r="K62" s="380">
        <v>0</v>
      </c>
      <c r="L62" s="380">
        <v>0</v>
      </c>
      <c r="M62" s="381">
        <f t="shared" si="0"/>
        <v>0</v>
      </c>
      <c r="N62" s="384">
        <v>4000</v>
      </c>
      <c r="O62" s="382">
        <v>0</v>
      </c>
      <c r="P62" s="383">
        <f t="shared" si="3"/>
        <v>4000</v>
      </c>
      <c r="Q62" s="383">
        <v>4000</v>
      </c>
      <c r="R62" s="383">
        <f t="shared" si="1"/>
        <v>0</v>
      </c>
    </row>
    <row r="63" spans="2:18" ht="38.1" customHeight="1" x14ac:dyDescent="0.3">
      <c r="B63" s="259" t="s">
        <v>923</v>
      </c>
      <c r="C63" s="1150" t="s">
        <v>924</v>
      </c>
      <c r="D63" s="1150"/>
      <c r="E63" s="1150"/>
      <c r="F63" s="1151"/>
      <c r="G63" s="260">
        <v>0</v>
      </c>
      <c r="H63" s="260">
        <v>0</v>
      </c>
      <c r="I63" s="260">
        <v>0</v>
      </c>
      <c r="J63" s="260">
        <v>0</v>
      </c>
      <c r="K63" s="260">
        <v>0</v>
      </c>
      <c r="L63" s="260">
        <v>0</v>
      </c>
      <c r="M63" s="328">
        <f t="shared" si="0"/>
        <v>0</v>
      </c>
      <c r="N63" s="378">
        <v>0</v>
      </c>
      <c r="O63" s="265">
        <v>0</v>
      </c>
      <c r="P63" s="263">
        <f t="shared" si="3"/>
        <v>0</v>
      </c>
      <c r="Q63" s="263">
        <v>0</v>
      </c>
      <c r="R63" s="263">
        <f t="shared" si="1"/>
        <v>0</v>
      </c>
    </row>
    <row r="64" spans="2:18" ht="38.1" customHeight="1" x14ac:dyDescent="0.3">
      <c r="B64" s="184" t="s">
        <v>925</v>
      </c>
      <c r="C64" s="1157" t="s">
        <v>924</v>
      </c>
      <c r="D64" s="1157"/>
      <c r="E64" s="1157"/>
      <c r="F64" s="1158"/>
      <c r="G64" s="211">
        <v>0</v>
      </c>
      <c r="H64" s="211">
        <v>1594975</v>
      </c>
      <c r="I64" s="211">
        <v>0</v>
      </c>
      <c r="J64" s="211">
        <v>0</v>
      </c>
      <c r="K64" s="211">
        <v>0</v>
      </c>
      <c r="L64" s="212">
        <v>1594975</v>
      </c>
      <c r="M64" s="213">
        <f t="shared" si="0"/>
        <v>24350.763358778626</v>
      </c>
      <c r="N64" s="201">
        <v>0</v>
      </c>
      <c r="O64" s="234">
        <v>0</v>
      </c>
      <c r="P64" s="203">
        <f t="shared" si="3"/>
        <v>24350.763358778626</v>
      </c>
      <c r="Q64" s="203">
        <f>24350.76/2</f>
        <v>12175.38</v>
      </c>
      <c r="R64" s="203">
        <f t="shared" si="1"/>
        <v>12175.383358778627</v>
      </c>
    </row>
    <row r="65" spans="2:18" ht="38.1" customHeight="1" x14ac:dyDescent="0.3">
      <c r="B65" s="185" t="s">
        <v>926</v>
      </c>
      <c r="C65" s="1152" t="s">
        <v>98</v>
      </c>
      <c r="D65" s="1152"/>
      <c r="E65" s="1152"/>
      <c r="F65" s="1153"/>
      <c r="G65" s="183"/>
      <c r="H65" s="217">
        <v>1561884.37</v>
      </c>
      <c r="I65" s="217">
        <v>202249.85</v>
      </c>
      <c r="J65" s="217">
        <v>202249.85</v>
      </c>
      <c r="K65" s="217">
        <v>202249.85</v>
      </c>
      <c r="L65" s="219">
        <v>1359634.52</v>
      </c>
      <c r="M65" s="220">
        <f t="shared" si="0"/>
        <v>20757.778931297711</v>
      </c>
      <c r="N65" s="202">
        <v>0</v>
      </c>
      <c r="O65" s="235">
        <v>0</v>
      </c>
      <c r="P65" s="205">
        <f t="shared" si="3"/>
        <v>20757.778931297711</v>
      </c>
      <c r="Q65" s="205">
        <v>10757.78</v>
      </c>
      <c r="R65" s="205">
        <f t="shared" si="1"/>
        <v>9999.9989312977104</v>
      </c>
    </row>
    <row r="66" spans="2:18" ht="38.1" customHeight="1" x14ac:dyDescent="0.3">
      <c r="B66" s="184" t="s">
        <v>927</v>
      </c>
      <c r="C66" s="1157" t="s">
        <v>928</v>
      </c>
      <c r="D66" s="1157"/>
      <c r="E66" s="1157"/>
      <c r="F66" s="1158"/>
      <c r="G66" s="182"/>
      <c r="H66" s="211">
        <v>637990</v>
      </c>
      <c r="I66" s="211">
        <v>5530.1</v>
      </c>
      <c r="J66" s="211">
        <v>5530.1</v>
      </c>
      <c r="K66" s="211">
        <v>5530.1</v>
      </c>
      <c r="L66" s="212">
        <v>632459.9</v>
      </c>
      <c r="M66" s="213">
        <f t="shared" si="0"/>
        <v>9655.8763358778633</v>
      </c>
      <c r="N66" s="201">
        <v>0</v>
      </c>
      <c r="O66" s="234">
        <v>0</v>
      </c>
      <c r="P66" s="203">
        <f t="shared" si="3"/>
        <v>9655.8763358778633</v>
      </c>
      <c r="Q66" s="203">
        <v>4500</v>
      </c>
      <c r="R66" s="203">
        <f t="shared" si="1"/>
        <v>5155.8763358778633</v>
      </c>
    </row>
    <row r="67" spans="2:18" ht="38.1" customHeight="1" x14ac:dyDescent="0.3">
      <c r="B67" s="185" t="s">
        <v>929</v>
      </c>
      <c r="C67" s="1152" t="s">
        <v>930</v>
      </c>
      <c r="D67" s="1152"/>
      <c r="E67" s="1152"/>
      <c r="F67" s="1153"/>
      <c r="G67" s="183"/>
      <c r="H67" s="217">
        <v>12759.8</v>
      </c>
      <c r="I67" s="217">
        <v>1390.18</v>
      </c>
      <c r="J67" s="217">
        <v>1390.18</v>
      </c>
      <c r="K67" s="217">
        <v>1390.18</v>
      </c>
      <c r="L67" s="219">
        <v>11369.62</v>
      </c>
      <c r="M67" s="220">
        <f t="shared" si="0"/>
        <v>173.58198473282445</v>
      </c>
      <c r="N67" s="254">
        <v>326.42</v>
      </c>
      <c r="O67" s="235">
        <v>0</v>
      </c>
      <c r="P67" s="205">
        <f t="shared" si="3"/>
        <v>500.00198473282444</v>
      </c>
      <c r="Q67" s="205">
        <v>500</v>
      </c>
      <c r="R67" s="205">
        <f t="shared" si="1"/>
        <v>1.9847328244395612E-3</v>
      </c>
    </row>
    <row r="68" spans="2:18" ht="38.1" customHeight="1" x14ac:dyDescent="0.3">
      <c r="B68" s="184" t="s">
        <v>931</v>
      </c>
      <c r="C68" s="1157" t="s">
        <v>932</v>
      </c>
      <c r="D68" s="1157"/>
      <c r="E68" s="1157"/>
      <c r="F68" s="1158"/>
      <c r="G68" s="211">
        <v>0</v>
      </c>
      <c r="H68" s="211">
        <v>1143616.8500000001</v>
      </c>
      <c r="I68" s="211">
        <v>0</v>
      </c>
      <c r="J68" s="211">
        <v>0</v>
      </c>
      <c r="K68" s="211">
        <v>0</v>
      </c>
      <c r="L68" s="212">
        <v>1143616.8500000001</v>
      </c>
      <c r="M68" s="213">
        <f t="shared" ref="M68:M132" si="4">+L68/65.5</f>
        <v>17459.799236641222</v>
      </c>
      <c r="N68" s="201">
        <v>0</v>
      </c>
      <c r="O68" s="234">
        <v>0</v>
      </c>
      <c r="P68" s="203">
        <f t="shared" si="3"/>
        <v>17459.799236641222</v>
      </c>
      <c r="Q68" s="203">
        <v>0</v>
      </c>
      <c r="R68" s="203">
        <f t="shared" ref="R68:R132" si="5">+P68-Q68</f>
        <v>17459.799236641222</v>
      </c>
    </row>
    <row r="69" spans="2:18" ht="38.1" customHeight="1" x14ac:dyDescent="0.3">
      <c r="B69" s="259" t="s">
        <v>933</v>
      </c>
      <c r="C69" s="1166" t="s">
        <v>934</v>
      </c>
      <c r="D69" s="1166"/>
      <c r="E69" s="1166"/>
      <c r="F69" s="1167"/>
      <c r="G69" s="342"/>
      <c r="H69" s="260">
        <v>306235.2</v>
      </c>
      <c r="I69" s="260">
        <v>0</v>
      </c>
      <c r="J69" s="260">
        <v>0</v>
      </c>
      <c r="K69" s="260">
        <v>0</v>
      </c>
      <c r="L69" s="261">
        <v>306235.2</v>
      </c>
      <c r="M69" s="262">
        <f t="shared" si="4"/>
        <v>4675.3465648854963</v>
      </c>
      <c r="N69" s="264">
        <v>0</v>
      </c>
      <c r="O69" s="265">
        <v>-4675.3500000000004</v>
      </c>
      <c r="P69" s="263">
        <f t="shared" si="3"/>
        <v>-3.4351145041000564E-3</v>
      </c>
      <c r="Q69" s="263">
        <v>0</v>
      </c>
      <c r="R69" s="263">
        <f t="shared" si="5"/>
        <v>-3.4351145041000564E-3</v>
      </c>
    </row>
    <row r="70" spans="2:18" ht="38.1" customHeight="1" x14ac:dyDescent="0.3">
      <c r="B70" s="259" t="s">
        <v>935</v>
      </c>
      <c r="C70" s="1150" t="s">
        <v>936</v>
      </c>
      <c r="D70" s="1150"/>
      <c r="E70" s="1150"/>
      <c r="F70" s="1151"/>
      <c r="G70" s="342"/>
      <c r="H70" s="260">
        <v>637990</v>
      </c>
      <c r="I70" s="260">
        <v>594076.51</v>
      </c>
      <c r="J70" s="260">
        <v>386390.35</v>
      </c>
      <c r="K70" s="260">
        <v>357318.42</v>
      </c>
      <c r="L70" s="261">
        <v>306235.2</v>
      </c>
      <c r="M70" s="262">
        <f t="shared" si="4"/>
        <v>4675.3465648854963</v>
      </c>
      <c r="N70" s="264">
        <v>0</v>
      </c>
      <c r="O70" s="265">
        <v>-670.43</v>
      </c>
      <c r="P70" s="263">
        <f t="shared" si="3"/>
        <v>4004.9165648854964</v>
      </c>
      <c r="Q70" s="263">
        <v>0</v>
      </c>
      <c r="R70" s="263">
        <f t="shared" si="5"/>
        <v>4004.9165648854964</v>
      </c>
    </row>
    <row r="71" spans="2:18" ht="38.1" customHeight="1" x14ac:dyDescent="0.3">
      <c r="B71" s="185" t="s">
        <v>937</v>
      </c>
      <c r="C71" s="1152" t="s">
        <v>938</v>
      </c>
      <c r="D71" s="1152"/>
      <c r="E71" s="1152"/>
      <c r="F71" s="1153"/>
      <c r="G71" s="217">
        <v>0</v>
      </c>
      <c r="H71" s="217">
        <v>190602.7</v>
      </c>
      <c r="I71" s="217">
        <v>0</v>
      </c>
      <c r="J71" s="217">
        <v>0</v>
      </c>
      <c r="K71" s="217">
        <v>0</v>
      </c>
      <c r="L71" s="217">
        <f>+H71-K71</f>
        <v>190602.7</v>
      </c>
      <c r="M71" s="220">
        <f t="shared" si="4"/>
        <v>2909.9648854961833</v>
      </c>
      <c r="N71" s="202">
        <v>0</v>
      </c>
      <c r="O71" s="235">
        <v>0</v>
      </c>
      <c r="P71" s="205">
        <f t="shared" si="3"/>
        <v>2909.9648854961833</v>
      </c>
      <c r="Q71" s="205">
        <v>0</v>
      </c>
      <c r="R71" s="205">
        <f t="shared" si="5"/>
        <v>2909.9648854961833</v>
      </c>
    </row>
    <row r="72" spans="2:18" ht="38.1" customHeight="1" x14ac:dyDescent="0.3">
      <c r="B72" s="184" t="s">
        <v>939</v>
      </c>
      <c r="C72" s="1157" t="s">
        <v>104</v>
      </c>
      <c r="D72" s="1157"/>
      <c r="E72" s="1157"/>
      <c r="F72" s="1158"/>
      <c r="G72" s="211">
        <v>0</v>
      </c>
      <c r="H72" s="211">
        <v>158835.9</v>
      </c>
      <c r="I72" s="211">
        <v>0</v>
      </c>
      <c r="J72" s="211">
        <v>0</v>
      </c>
      <c r="K72" s="211">
        <v>0</v>
      </c>
      <c r="L72" s="211">
        <f t="shared" ref="L72:L76" si="6">+H72-K72</f>
        <v>158835.9</v>
      </c>
      <c r="M72" s="213">
        <f t="shared" si="4"/>
        <v>2424.9755725190839</v>
      </c>
      <c r="N72" s="201">
        <v>0</v>
      </c>
      <c r="O72" s="234">
        <v>0</v>
      </c>
      <c r="P72" s="203">
        <f t="shared" si="3"/>
        <v>2424.9755725190839</v>
      </c>
      <c r="Q72" s="203">
        <v>1212.45</v>
      </c>
      <c r="R72" s="203">
        <f t="shared" si="5"/>
        <v>1212.5255725190839</v>
      </c>
    </row>
    <row r="73" spans="2:18" ht="38.1" customHeight="1" x14ac:dyDescent="0.3">
      <c r="B73" s="185" t="s">
        <v>940</v>
      </c>
      <c r="C73" s="1152" t="s">
        <v>941</v>
      </c>
      <c r="D73" s="1152"/>
      <c r="E73" s="1152"/>
      <c r="F73" s="1153"/>
      <c r="G73" s="217">
        <v>0</v>
      </c>
      <c r="H73" s="217">
        <v>79417.63</v>
      </c>
      <c r="I73" s="217">
        <v>0</v>
      </c>
      <c r="J73" s="217">
        <v>0</v>
      </c>
      <c r="K73" s="217">
        <v>0</v>
      </c>
      <c r="L73" s="217">
        <f t="shared" si="6"/>
        <v>79417.63</v>
      </c>
      <c r="M73" s="220">
        <f t="shared" si="4"/>
        <v>1212.4829007633589</v>
      </c>
      <c r="N73" s="202">
        <v>0</v>
      </c>
      <c r="O73" s="235">
        <v>0</v>
      </c>
      <c r="P73" s="205">
        <f t="shared" si="3"/>
        <v>1212.4829007633589</v>
      </c>
      <c r="Q73" s="205">
        <v>0</v>
      </c>
      <c r="R73" s="205">
        <f t="shared" si="5"/>
        <v>1212.4829007633589</v>
      </c>
    </row>
    <row r="74" spans="2:18" ht="38.1" customHeight="1" x14ac:dyDescent="0.3">
      <c r="B74" s="184" t="s">
        <v>942</v>
      </c>
      <c r="C74" s="1157" t="s">
        <v>106</v>
      </c>
      <c r="D74" s="1157"/>
      <c r="E74" s="1157"/>
      <c r="F74" s="1158"/>
      <c r="G74" s="211">
        <v>0</v>
      </c>
      <c r="H74" s="211">
        <v>1907352.13</v>
      </c>
      <c r="I74" s="211">
        <v>173234.06</v>
      </c>
      <c r="J74" s="211">
        <v>173234.06</v>
      </c>
      <c r="K74" s="211">
        <v>173234.06</v>
      </c>
      <c r="L74" s="211">
        <f t="shared" si="6"/>
        <v>1734118.0699999998</v>
      </c>
      <c r="M74" s="213">
        <f t="shared" si="4"/>
        <v>26475.085038167937</v>
      </c>
      <c r="N74" s="201">
        <v>0</v>
      </c>
      <c r="O74" s="234">
        <v>0</v>
      </c>
      <c r="P74" s="203">
        <f t="shared" si="3"/>
        <v>26475.085038167937</v>
      </c>
      <c r="Q74" s="203">
        <v>13475.09</v>
      </c>
      <c r="R74" s="203">
        <f t="shared" si="5"/>
        <v>12999.995038167937</v>
      </c>
    </row>
    <row r="75" spans="2:18" ht="38.1" customHeight="1" x14ac:dyDescent="0.3">
      <c r="B75" s="185" t="s">
        <v>943</v>
      </c>
      <c r="C75" s="1152" t="s">
        <v>944</v>
      </c>
      <c r="D75" s="1152"/>
      <c r="E75" s="1152"/>
      <c r="F75" s="1153"/>
      <c r="G75" s="217">
        <v>0</v>
      </c>
      <c r="H75" s="217">
        <v>929189.05</v>
      </c>
      <c r="I75" s="217">
        <v>0</v>
      </c>
      <c r="J75" s="217">
        <v>0</v>
      </c>
      <c r="K75" s="217">
        <v>0</v>
      </c>
      <c r="L75" s="217">
        <f t="shared" si="6"/>
        <v>929189.05</v>
      </c>
      <c r="M75" s="220">
        <f t="shared" si="4"/>
        <v>14186.092366412215</v>
      </c>
      <c r="N75" s="202">
        <v>0</v>
      </c>
      <c r="O75" s="235">
        <v>0</v>
      </c>
      <c r="P75" s="205">
        <f t="shared" si="3"/>
        <v>14186.092366412215</v>
      </c>
      <c r="Q75" s="205">
        <v>7500</v>
      </c>
      <c r="R75" s="205">
        <f t="shared" si="5"/>
        <v>6686.0923664122147</v>
      </c>
    </row>
    <row r="76" spans="2:18" ht="60.6" customHeight="1" x14ac:dyDescent="0.3">
      <c r="B76" s="1159" t="s">
        <v>945</v>
      </c>
      <c r="C76" s="1160"/>
      <c r="D76" s="1160"/>
      <c r="E76" s="1160"/>
      <c r="F76" s="1161"/>
      <c r="G76" s="206">
        <v>0</v>
      </c>
      <c r="H76" s="206">
        <v>169545453.96000001</v>
      </c>
      <c r="I76" s="206">
        <v>0</v>
      </c>
      <c r="J76" s="206">
        <v>0</v>
      </c>
      <c r="K76" s="206">
        <v>0</v>
      </c>
      <c r="L76" s="206">
        <f t="shared" si="6"/>
        <v>169545453.96000001</v>
      </c>
      <c r="M76" s="208">
        <f t="shared" si="4"/>
        <v>2588480.2131297709</v>
      </c>
      <c r="N76" s="214">
        <f>+SUM(N77:N80)</f>
        <v>0</v>
      </c>
      <c r="O76" s="233">
        <f>+SUM(O77:O80)</f>
        <v>0</v>
      </c>
      <c r="P76" s="215">
        <f>+SUM(P77:P80)</f>
        <v>2588480.2132824422</v>
      </c>
      <c r="Q76" s="215">
        <f>+SUM(Q77:Q80)</f>
        <v>2200000</v>
      </c>
      <c r="R76" s="215">
        <f t="shared" si="5"/>
        <v>388480.21328244219</v>
      </c>
    </row>
    <row r="77" spans="2:18" ht="38.1" customHeight="1" x14ac:dyDescent="0.3">
      <c r="B77" s="185" t="s">
        <v>946</v>
      </c>
      <c r="C77" s="1152" t="s">
        <v>104</v>
      </c>
      <c r="D77" s="1152"/>
      <c r="E77" s="1152"/>
      <c r="F77" s="1153"/>
      <c r="G77" s="217">
        <v>0</v>
      </c>
      <c r="H77" s="217">
        <v>31767.439999999999</v>
      </c>
      <c r="I77" s="217">
        <v>0</v>
      </c>
      <c r="J77" s="217">
        <v>0</v>
      </c>
      <c r="K77" s="217">
        <v>0</v>
      </c>
      <c r="L77" s="217">
        <f>+H77-K77</f>
        <v>31767.439999999999</v>
      </c>
      <c r="M77" s="220">
        <f t="shared" si="4"/>
        <v>484.99908396946563</v>
      </c>
      <c r="N77" s="202">
        <v>0</v>
      </c>
      <c r="O77" s="235">
        <v>0</v>
      </c>
      <c r="P77" s="205">
        <f t="shared" ref="P77:P80" si="7">+M77+O77+N77</f>
        <v>484.99908396946563</v>
      </c>
      <c r="Q77" s="205">
        <v>0</v>
      </c>
      <c r="R77" s="205">
        <f t="shared" si="5"/>
        <v>484.99908396946563</v>
      </c>
    </row>
    <row r="78" spans="2:18" ht="38.1" customHeight="1" x14ac:dyDescent="0.3">
      <c r="B78" s="184" t="s">
        <v>947</v>
      </c>
      <c r="C78" s="1157" t="s">
        <v>941</v>
      </c>
      <c r="D78" s="1157"/>
      <c r="E78" s="1157"/>
      <c r="F78" s="1158"/>
      <c r="G78" s="211">
        <v>0</v>
      </c>
      <c r="H78" s="211">
        <v>10589.36</v>
      </c>
      <c r="I78" s="211">
        <v>0</v>
      </c>
      <c r="J78" s="211">
        <v>0</v>
      </c>
      <c r="K78" s="211">
        <v>0</v>
      </c>
      <c r="L78" s="211">
        <f t="shared" ref="L78:L141" si="8">+H78-K78</f>
        <v>10589.36</v>
      </c>
      <c r="M78" s="213">
        <f t="shared" si="4"/>
        <v>161.66961832061071</v>
      </c>
      <c r="N78" s="201">
        <v>0</v>
      </c>
      <c r="O78" s="234">
        <v>0</v>
      </c>
      <c r="P78" s="203">
        <f t="shared" si="7"/>
        <v>161.66961832061071</v>
      </c>
      <c r="Q78" s="203">
        <v>0</v>
      </c>
      <c r="R78" s="203">
        <f t="shared" si="5"/>
        <v>161.66961832061071</v>
      </c>
    </row>
    <row r="79" spans="2:18" ht="38.1" customHeight="1" x14ac:dyDescent="0.3">
      <c r="B79" s="259" t="s">
        <v>948</v>
      </c>
      <c r="C79" s="1150" t="s">
        <v>949</v>
      </c>
      <c r="D79" s="1150"/>
      <c r="E79" s="1150"/>
      <c r="F79" s="1151"/>
      <c r="G79" s="260">
        <v>0</v>
      </c>
      <c r="H79" s="260">
        <v>0</v>
      </c>
      <c r="I79" s="260">
        <v>0</v>
      </c>
      <c r="J79" s="260">
        <v>0</v>
      </c>
      <c r="K79" s="260">
        <v>0</v>
      </c>
      <c r="L79" s="260">
        <f t="shared" si="8"/>
        <v>0</v>
      </c>
      <c r="M79" s="328">
        <f t="shared" si="4"/>
        <v>0</v>
      </c>
      <c r="N79" s="264">
        <v>0</v>
      </c>
      <c r="O79" s="265">
        <v>0</v>
      </c>
      <c r="P79" s="263">
        <f t="shared" si="7"/>
        <v>0</v>
      </c>
      <c r="Q79" s="263">
        <v>0</v>
      </c>
      <c r="R79" s="263">
        <f t="shared" si="5"/>
        <v>0</v>
      </c>
    </row>
    <row r="80" spans="2:18" ht="38.1" customHeight="1" x14ac:dyDescent="0.3">
      <c r="B80" s="184" t="s">
        <v>950</v>
      </c>
      <c r="C80" s="1157" t="s">
        <v>951</v>
      </c>
      <c r="D80" s="1157"/>
      <c r="E80" s="1157"/>
      <c r="F80" s="1158"/>
      <c r="G80" s="211">
        <v>0</v>
      </c>
      <c r="H80" s="211">
        <v>169503097.16999999</v>
      </c>
      <c r="I80" s="211">
        <v>0</v>
      </c>
      <c r="J80" s="211">
        <v>0</v>
      </c>
      <c r="K80" s="211">
        <v>0</v>
      </c>
      <c r="L80" s="211">
        <f t="shared" si="8"/>
        <v>169503097.16999999</v>
      </c>
      <c r="M80" s="213">
        <f t="shared" si="4"/>
        <v>2587833.5445801523</v>
      </c>
      <c r="N80" s="201">
        <v>0</v>
      </c>
      <c r="O80" s="234">
        <v>0</v>
      </c>
      <c r="P80" s="203">
        <f t="shared" si="7"/>
        <v>2587833.5445801523</v>
      </c>
      <c r="Q80" s="203">
        <v>2200000</v>
      </c>
      <c r="R80" s="203">
        <f t="shared" si="5"/>
        <v>387833.54458015226</v>
      </c>
    </row>
    <row r="81" spans="2:20" ht="38.1" customHeight="1" x14ac:dyDescent="0.3">
      <c r="B81" s="1159" t="s">
        <v>952</v>
      </c>
      <c r="C81" s="1160"/>
      <c r="D81" s="1160"/>
      <c r="E81" s="1160"/>
      <c r="F81" s="1161"/>
      <c r="G81" s="206">
        <v>0</v>
      </c>
      <c r="H81" s="206">
        <v>25604313.59</v>
      </c>
      <c r="I81" s="206">
        <v>0</v>
      </c>
      <c r="J81" s="206">
        <v>0</v>
      </c>
      <c r="K81" s="206">
        <v>0</v>
      </c>
      <c r="L81" s="206">
        <f t="shared" si="8"/>
        <v>25604313.59</v>
      </c>
      <c r="M81" s="208">
        <f t="shared" si="4"/>
        <v>390905.55099236639</v>
      </c>
      <c r="N81" s="214">
        <f>+SUM(N82:N84)</f>
        <v>0</v>
      </c>
      <c r="O81" s="233">
        <f>+SUM(O82:O84)</f>
        <v>0</v>
      </c>
      <c r="P81" s="215">
        <f>+SUM(P82:P84)</f>
        <v>390905.55099236639</v>
      </c>
      <c r="Q81" s="215">
        <f>+SUM(Q82:Q84)</f>
        <v>203000</v>
      </c>
      <c r="R81" s="215">
        <f t="shared" si="5"/>
        <v>187905.55099236639</v>
      </c>
    </row>
    <row r="82" spans="2:20" ht="38.1" customHeight="1" x14ac:dyDescent="0.3">
      <c r="B82" s="184" t="s">
        <v>953</v>
      </c>
      <c r="C82" s="1157" t="s">
        <v>104</v>
      </c>
      <c r="D82" s="1157"/>
      <c r="E82" s="1157"/>
      <c r="F82" s="1158"/>
      <c r="G82" s="211">
        <v>0</v>
      </c>
      <c r="H82" s="211">
        <v>63534.87</v>
      </c>
      <c r="I82" s="211">
        <v>0</v>
      </c>
      <c r="J82" s="211">
        <v>0</v>
      </c>
      <c r="K82" s="211">
        <v>0</v>
      </c>
      <c r="L82" s="211">
        <f t="shared" si="8"/>
        <v>63534.87</v>
      </c>
      <c r="M82" s="213">
        <f t="shared" si="4"/>
        <v>969.99801526717556</v>
      </c>
      <c r="N82" s="201">
        <v>0</v>
      </c>
      <c r="O82" s="234">
        <v>0</v>
      </c>
      <c r="P82" s="203">
        <f t="shared" ref="P82:P88" si="9">+M82+O82+N82</f>
        <v>969.99801526717556</v>
      </c>
      <c r="Q82" s="203">
        <v>0</v>
      </c>
      <c r="R82" s="203">
        <f t="shared" si="5"/>
        <v>969.99801526717556</v>
      </c>
    </row>
    <row r="83" spans="2:20" ht="38.1" customHeight="1" x14ac:dyDescent="0.3">
      <c r="B83" s="185" t="s">
        <v>954</v>
      </c>
      <c r="C83" s="1152" t="s">
        <v>941</v>
      </c>
      <c r="D83" s="1152"/>
      <c r="E83" s="1152"/>
      <c r="F83" s="1153"/>
      <c r="G83" s="217">
        <v>0</v>
      </c>
      <c r="H83" s="217">
        <v>21178.720000000001</v>
      </c>
      <c r="I83" s="217">
        <v>0</v>
      </c>
      <c r="J83" s="217">
        <v>0</v>
      </c>
      <c r="K83" s="217">
        <v>0</v>
      </c>
      <c r="L83" s="217">
        <f t="shared" si="8"/>
        <v>21178.720000000001</v>
      </c>
      <c r="M83" s="220">
        <f t="shared" si="4"/>
        <v>323.33923664122142</v>
      </c>
      <c r="N83" s="202">
        <v>0</v>
      </c>
      <c r="O83" s="235">
        <v>0</v>
      </c>
      <c r="P83" s="205">
        <f t="shared" si="9"/>
        <v>323.33923664122142</v>
      </c>
      <c r="Q83" s="205">
        <v>0</v>
      </c>
      <c r="R83" s="205">
        <f t="shared" si="5"/>
        <v>323.33923664122142</v>
      </c>
    </row>
    <row r="84" spans="2:20" ht="38.1" customHeight="1" x14ac:dyDescent="0.3">
      <c r="B84" s="184" t="s">
        <v>955</v>
      </c>
      <c r="C84" s="1157" t="s">
        <v>894</v>
      </c>
      <c r="D84" s="1157"/>
      <c r="E84" s="1157"/>
      <c r="F84" s="1158"/>
      <c r="G84" s="211">
        <v>0</v>
      </c>
      <c r="H84" s="211">
        <v>25519600</v>
      </c>
      <c r="I84" s="211">
        <v>0</v>
      </c>
      <c r="J84" s="211">
        <v>0</v>
      </c>
      <c r="K84" s="211">
        <v>0</v>
      </c>
      <c r="L84" s="211">
        <f t="shared" si="8"/>
        <v>25519600</v>
      </c>
      <c r="M84" s="213">
        <f t="shared" si="4"/>
        <v>389612.21374045801</v>
      </c>
      <c r="N84" s="201">
        <v>0</v>
      </c>
      <c r="O84" s="234">
        <v>0</v>
      </c>
      <c r="P84" s="203">
        <f t="shared" si="9"/>
        <v>389612.21374045801</v>
      </c>
      <c r="Q84" s="203">
        <v>203000</v>
      </c>
      <c r="R84" s="203">
        <f t="shared" si="5"/>
        <v>186612.21374045801</v>
      </c>
    </row>
    <row r="85" spans="2:20" ht="38.1" customHeight="1" x14ac:dyDescent="0.3">
      <c r="B85" s="1168" t="s">
        <v>956</v>
      </c>
      <c r="C85" s="1169"/>
      <c r="D85" s="1169"/>
      <c r="E85" s="1169"/>
      <c r="F85" s="1170"/>
      <c r="G85" s="246">
        <v>0</v>
      </c>
      <c r="H85" s="246">
        <v>0</v>
      </c>
      <c r="I85" s="246">
        <v>0</v>
      </c>
      <c r="J85" s="246">
        <v>0</v>
      </c>
      <c r="K85" s="246">
        <v>0</v>
      </c>
      <c r="L85" s="246">
        <f t="shared" si="8"/>
        <v>0</v>
      </c>
      <c r="M85" s="247">
        <f t="shared" si="4"/>
        <v>0</v>
      </c>
      <c r="N85" s="248">
        <v>0</v>
      </c>
      <c r="O85" s="249">
        <v>0</v>
      </c>
      <c r="P85" s="250">
        <f t="shared" si="9"/>
        <v>0</v>
      </c>
      <c r="Q85" s="250">
        <v>0</v>
      </c>
      <c r="R85" s="250">
        <f t="shared" si="5"/>
        <v>0</v>
      </c>
    </row>
    <row r="86" spans="2:20" ht="38.1" customHeight="1" x14ac:dyDescent="0.3">
      <c r="B86" s="259" t="s">
        <v>957</v>
      </c>
      <c r="C86" s="1150" t="s">
        <v>104</v>
      </c>
      <c r="D86" s="1150"/>
      <c r="E86" s="1150"/>
      <c r="F86" s="1151"/>
      <c r="G86" s="260">
        <v>0</v>
      </c>
      <c r="H86" s="260">
        <v>0</v>
      </c>
      <c r="I86" s="260">
        <v>0</v>
      </c>
      <c r="J86" s="260">
        <v>0</v>
      </c>
      <c r="K86" s="260">
        <v>0</v>
      </c>
      <c r="L86" s="260">
        <f t="shared" si="8"/>
        <v>0</v>
      </c>
      <c r="M86" s="328">
        <f t="shared" si="4"/>
        <v>0</v>
      </c>
      <c r="N86" s="264">
        <v>0</v>
      </c>
      <c r="O86" s="265">
        <v>0</v>
      </c>
      <c r="P86" s="263">
        <f t="shared" si="9"/>
        <v>0</v>
      </c>
      <c r="Q86" s="263">
        <v>0</v>
      </c>
      <c r="R86" s="263">
        <f t="shared" si="5"/>
        <v>0</v>
      </c>
    </row>
    <row r="87" spans="2:20" ht="38.1" customHeight="1" x14ac:dyDescent="0.3">
      <c r="B87" s="259" t="s">
        <v>958</v>
      </c>
      <c r="C87" s="1150" t="s">
        <v>941</v>
      </c>
      <c r="D87" s="1150"/>
      <c r="E87" s="1150"/>
      <c r="F87" s="1151"/>
      <c r="G87" s="260">
        <v>0</v>
      </c>
      <c r="H87" s="260">
        <v>0</v>
      </c>
      <c r="I87" s="260">
        <v>0</v>
      </c>
      <c r="J87" s="260">
        <v>0</v>
      </c>
      <c r="K87" s="260">
        <v>0</v>
      </c>
      <c r="L87" s="260">
        <f t="shared" si="8"/>
        <v>0</v>
      </c>
      <c r="M87" s="328">
        <f t="shared" si="4"/>
        <v>0</v>
      </c>
      <c r="N87" s="264">
        <v>0</v>
      </c>
      <c r="O87" s="265">
        <v>0</v>
      </c>
      <c r="P87" s="263">
        <f t="shared" si="9"/>
        <v>0</v>
      </c>
      <c r="Q87" s="263">
        <v>0</v>
      </c>
      <c r="R87" s="263">
        <f t="shared" si="5"/>
        <v>0</v>
      </c>
    </row>
    <row r="88" spans="2:20" ht="38.1" customHeight="1" x14ac:dyDescent="0.3">
      <c r="B88" s="259" t="s">
        <v>959</v>
      </c>
      <c r="C88" s="1150" t="s">
        <v>894</v>
      </c>
      <c r="D88" s="1150"/>
      <c r="E88" s="1150"/>
      <c r="F88" s="1151"/>
      <c r="G88" s="260">
        <v>0</v>
      </c>
      <c r="H88" s="260">
        <v>0</v>
      </c>
      <c r="I88" s="260">
        <v>0</v>
      </c>
      <c r="J88" s="260">
        <v>0</v>
      </c>
      <c r="K88" s="260">
        <v>0</v>
      </c>
      <c r="L88" s="260">
        <f t="shared" si="8"/>
        <v>0</v>
      </c>
      <c r="M88" s="328">
        <f t="shared" si="4"/>
        <v>0</v>
      </c>
      <c r="N88" s="264">
        <v>0</v>
      </c>
      <c r="O88" s="265">
        <v>0</v>
      </c>
      <c r="P88" s="263">
        <f t="shared" si="9"/>
        <v>0</v>
      </c>
      <c r="Q88" s="263">
        <v>0</v>
      </c>
      <c r="R88" s="263">
        <f t="shared" si="5"/>
        <v>0</v>
      </c>
    </row>
    <row r="89" spans="2:20" ht="38.1" customHeight="1" x14ac:dyDescent="0.3">
      <c r="B89" s="1159" t="s">
        <v>960</v>
      </c>
      <c r="C89" s="1160"/>
      <c r="D89" s="1160"/>
      <c r="E89" s="1160"/>
      <c r="F89" s="1161"/>
      <c r="G89" s="206">
        <v>46213.440000000002</v>
      </c>
      <c r="H89" s="206">
        <v>13757967.890000001</v>
      </c>
      <c r="I89" s="206">
        <v>1212486.6000000001</v>
      </c>
      <c r="J89" s="206">
        <v>1212486.6000000001</v>
      </c>
      <c r="K89" s="206">
        <v>1212486.6000000001</v>
      </c>
      <c r="L89" s="206">
        <f t="shared" si="8"/>
        <v>12545481.290000001</v>
      </c>
      <c r="M89" s="208">
        <f t="shared" si="4"/>
        <v>191534.06549618323</v>
      </c>
      <c r="N89" s="214">
        <f>+SUM(N90:N95)</f>
        <v>0</v>
      </c>
      <c r="O89" s="233">
        <f>+SUM(O90:O95)</f>
        <v>-100000</v>
      </c>
      <c r="P89" s="215">
        <f>+SUM(P90:P95)</f>
        <v>91534.06549618319</v>
      </c>
      <c r="Q89" s="215">
        <f>+SUM(Q90:Q95)</f>
        <v>33411.4</v>
      </c>
      <c r="R89" s="215">
        <f t="shared" si="5"/>
        <v>58122.665496183188</v>
      </c>
    </row>
    <row r="90" spans="2:20" ht="38.1" customHeight="1" x14ac:dyDescent="0.3">
      <c r="B90" s="184" t="s">
        <v>961</v>
      </c>
      <c r="C90" s="1157" t="s">
        <v>96</v>
      </c>
      <c r="D90" s="1157"/>
      <c r="E90" s="1157"/>
      <c r="F90" s="1158"/>
      <c r="G90" s="211">
        <v>0</v>
      </c>
      <c r="H90" s="211">
        <v>169424.62</v>
      </c>
      <c r="I90" s="211">
        <v>0</v>
      </c>
      <c r="J90" s="211">
        <v>0</v>
      </c>
      <c r="K90" s="211">
        <v>0</v>
      </c>
      <c r="L90" s="211">
        <f t="shared" si="8"/>
        <v>169424.62</v>
      </c>
      <c r="M90" s="213">
        <f t="shared" si="4"/>
        <v>2586.6354198473282</v>
      </c>
      <c r="N90" s="201">
        <v>0</v>
      </c>
      <c r="O90" s="234">
        <v>0</v>
      </c>
      <c r="P90" s="203">
        <f t="shared" ref="P90:P155" si="10">+M90+O90+N90</f>
        <v>2586.6354198473282</v>
      </c>
      <c r="Q90" s="203">
        <v>2586.64</v>
      </c>
      <c r="R90" s="203">
        <f t="shared" si="5"/>
        <v>-4.5801526716786611E-3</v>
      </c>
    </row>
    <row r="91" spans="2:20" ht="38.1" customHeight="1" x14ac:dyDescent="0.3">
      <c r="B91" s="185" t="s">
        <v>962</v>
      </c>
      <c r="C91" s="1152" t="s">
        <v>185</v>
      </c>
      <c r="D91" s="1152"/>
      <c r="E91" s="1152"/>
      <c r="F91" s="1153"/>
      <c r="G91" s="217">
        <v>0</v>
      </c>
      <c r="H91" s="217">
        <v>84712.31</v>
      </c>
      <c r="I91" s="217">
        <v>0</v>
      </c>
      <c r="J91" s="217">
        <v>0</v>
      </c>
      <c r="K91" s="217">
        <v>0</v>
      </c>
      <c r="L91" s="217">
        <f t="shared" si="8"/>
        <v>84712.31</v>
      </c>
      <c r="M91" s="220">
        <f t="shared" si="4"/>
        <v>1293.3177099236641</v>
      </c>
      <c r="N91" s="202">
        <v>0</v>
      </c>
      <c r="O91" s="235">
        <v>0</v>
      </c>
      <c r="P91" s="205">
        <f t="shared" si="10"/>
        <v>1293.3177099236641</v>
      </c>
      <c r="Q91" s="205">
        <v>1293.32</v>
      </c>
      <c r="R91" s="205">
        <f t="shared" si="5"/>
        <v>-2.2900763358393306E-3</v>
      </c>
    </row>
    <row r="92" spans="2:20" ht="38.1" customHeight="1" x14ac:dyDescent="0.3">
      <c r="B92" s="184" t="s">
        <v>963</v>
      </c>
      <c r="C92" s="1157" t="s">
        <v>892</v>
      </c>
      <c r="D92" s="1157"/>
      <c r="E92" s="1157"/>
      <c r="F92" s="1158"/>
      <c r="G92" s="211">
        <v>0</v>
      </c>
      <c r="H92" s="211">
        <v>317671.17</v>
      </c>
      <c r="I92" s="211">
        <v>0</v>
      </c>
      <c r="J92" s="211">
        <v>0</v>
      </c>
      <c r="K92" s="211">
        <v>0</v>
      </c>
      <c r="L92" s="211">
        <f t="shared" si="8"/>
        <v>317671.17</v>
      </c>
      <c r="M92" s="213">
        <f t="shared" si="4"/>
        <v>4849.9415267175573</v>
      </c>
      <c r="N92" s="201">
        <v>0</v>
      </c>
      <c r="O92" s="234">
        <v>0</v>
      </c>
      <c r="P92" s="203">
        <f t="shared" si="10"/>
        <v>4849.9415267175573</v>
      </c>
      <c r="Q92" s="203">
        <v>2500</v>
      </c>
      <c r="R92" s="203">
        <f t="shared" si="5"/>
        <v>2349.9415267175573</v>
      </c>
      <c r="T92" s="391"/>
    </row>
    <row r="93" spans="2:20" ht="38.1" customHeight="1" x14ac:dyDescent="0.3">
      <c r="B93" s="185" t="s">
        <v>964</v>
      </c>
      <c r="C93" s="1152" t="s">
        <v>193</v>
      </c>
      <c r="D93" s="1152"/>
      <c r="E93" s="1152"/>
      <c r="F93" s="1153"/>
      <c r="G93" s="217">
        <v>0</v>
      </c>
      <c r="H93" s="217">
        <v>148246.54999999999</v>
      </c>
      <c r="I93" s="217">
        <v>0</v>
      </c>
      <c r="J93" s="217">
        <v>0</v>
      </c>
      <c r="K93" s="217">
        <v>0</v>
      </c>
      <c r="L93" s="217">
        <f t="shared" si="8"/>
        <v>148246.54999999999</v>
      </c>
      <c r="M93" s="220">
        <f t="shared" si="4"/>
        <v>2263.3061068702286</v>
      </c>
      <c r="N93" s="202">
        <v>0</v>
      </c>
      <c r="O93" s="235">
        <v>0</v>
      </c>
      <c r="P93" s="205">
        <f t="shared" si="10"/>
        <v>2263.3061068702286</v>
      </c>
      <c r="Q93" s="205">
        <v>2263.31</v>
      </c>
      <c r="R93" s="205">
        <f t="shared" si="5"/>
        <v>-3.8931297713133972E-3</v>
      </c>
    </row>
    <row r="94" spans="2:20" ht="38.1" customHeight="1" x14ac:dyDescent="0.3">
      <c r="B94" s="184" t="s">
        <v>965</v>
      </c>
      <c r="C94" s="1157" t="s">
        <v>111</v>
      </c>
      <c r="D94" s="1157"/>
      <c r="E94" s="1157"/>
      <c r="F94" s="1158"/>
      <c r="G94" s="211">
        <v>0</v>
      </c>
      <c r="H94" s="211">
        <v>1196562.3700000001</v>
      </c>
      <c r="I94" s="211">
        <v>0</v>
      </c>
      <c r="J94" s="211">
        <v>0</v>
      </c>
      <c r="K94" s="211">
        <v>0</v>
      </c>
      <c r="L94" s="211">
        <f t="shared" si="8"/>
        <v>1196562.3700000001</v>
      </c>
      <c r="M94" s="213">
        <f t="shared" si="4"/>
        <v>18268.127786259545</v>
      </c>
      <c r="N94" s="201">
        <v>0</v>
      </c>
      <c r="O94" s="234">
        <v>0</v>
      </c>
      <c r="P94" s="203">
        <f t="shared" si="10"/>
        <v>18268.127786259545</v>
      </c>
      <c r="Q94" s="203">
        <v>18268.13</v>
      </c>
      <c r="R94" s="203">
        <f t="shared" si="5"/>
        <v>-2.2137404557724949E-3</v>
      </c>
    </row>
    <row r="95" spans="2:20" ht="50.4" customHeight="1" x14ac:dyDescent="0.3">
      <c r="B95" s="185" t="s">
        <v>966</v>
      </c>
      <c r="C95" s="1162" t="s">
        <v>967</v>
      </c>
      <c r="D95" s="1162"/>
      <c r="E95" s="1162"/>
      <c r="F95" s="1163"/>
      <c r="G95" s="217">
        <v>46213.440000000002</v>
      </c>
      <c r="H95" s="217">
        <v>11841350.869999999</v>
      </c>
      <c r="I95" s="217">
        <v>1212486.6000000001</v>
      </c>
      <c r="J95" s="217">
        <v>1212486.6000000001</v>
      </c>
      <c r="K95" s="217">
        <v>1212486.6000000001</v>
      </c>
      <c r="L95" s="217">
        <f t="shared" si="8"/>
        <v>10628864.27</v>
      </c>
      <c r="M95" s="220">
        <f t="shared" si="4"/>
        <v>162272.73694656487</v>
      </c>
      <c r="N95" s="202">
        <v>0</v>
      </c>
      <c r="O95" s="235">
        <v>-100000</v>
      </c>
      <c r="P95" s="205">
        <f t="shared" si="10"/>
        <v>62272.736946564866</v>
      </c>
      <c r="Q95" s="205">
        <v>6500</v>
      </c>
      <c r="R95" s="205">
        <f t="shared" si="5"/>
        <v>55772.736946564866</v>
      </c>
    </row>
    <row r="96" spans="2:20" ht="38.1" customHeight="1" x14ac:dyDescent="0.3">
      <c r="B96" s="1171" t="s">
        <v>968</v>
      </c>
      <c r="C96" s="1172"/>
      <c r="D96" s="1172"/>
      <c r="E96" s="1172"/>
      <c r="F96" s="1173"/>
      <c r="G96" s="221">
        <v>0</v>
      </c>
      <c r="H96" s="221">
        <v>33813470.640000001</v>
      </c>
      <c r="I96" s="221">
        <v>2548567.81</v>
      </c>
      <c r="J96" s="221">
        <v>651456.68999999994</v>
      </c>
      <c r="K96" s="221">
        <v>442636.19</v>
      </c>
      <c r="L96" s="221">
        <f t="shared" si="8"/>
        <v>33370834.449999999</v>
      </c>
      <c r="M96" s="222">
        <f t="shared" si="4"/>
        <v>509478.38854961831</v>
      </c>
      <c r="N96" s="223">
        <f>+SUM(N97:N107)</f>
        <v>70000</v>
      </c>
      <c r="O96" s="237">
        <f>+SUM(O97:O107)</f>
        <v>-393175.05</v>
      </c>
      <c r="P96" s="224">
        <f>+SUM(P97:P107)</f>
        <v>186303.33854961835</v>
      </c>
      <c r="Q96" s="224">
        <f>+SUM(Q97:Q108)</f>
        <v>396855.98</v>
      </c>
      <c r="R96" s="224">
        <f t="shared" si="5"/>
        <v>-210552.64145038163</v>
      </c>
    </row>
    <row r="97" spans="2:18" ht="38.1" customHeight="1" x14ac:dyDescent="0.3">
      <c r="B97" s="185" t="s">
        <v>969</v>
      </c>
      <c r="C97" s="1152" t="s">
        <v>104</v>
      </c>
      <c r="D97" s="1152"/>
      <c r="E97" s="1152"/>
      <c r="F97" s="1153"/>
      <c r="G97" s="217">
        <v>0</v>
      </c>
      <c r="H97" s="217">
        <v>79417.63</v>
      </c>
      <c r="I97" s="217">
        <v>0</v>
      </c>
      <c r="J97" s="217">
        <v>0</v>
      </c>
      <c r="K97" s="217">
        <v>0</v>
      </c>
      <c r="L97" s="217">
        <f t="shared" si="8"/>
        <v>79417.63</v>
      </c>
      <c r="M97" s="220">
        <f t="shared" si="4"/>
        <v>1212.4829007633589</v>
      </c>
      <c r="N97" s="202">
        <v>0</v>
      </c>
      <c r="O97" s="235">
        <v>0</v>
      </c>
      <c r="P97" s="205">
        <f t="shared" si="10"/>
        <v>1212.4829007633589</v>
      </c>
      <c r="Q97" s="205">
        <v>0</v>
      </c>
      <c r="R97" s="205">
        <f t="shared" si="5"/>
        <v>1212.4829007633589</v>
      </c>
    </row>
    <row r="98" spans="2:18" ht="38.1" customHeight="1" x14ac:dyDescent="0.3">
      <c r="B98" s="259" t="s">
        <v>970</v>
      </c>
      <c r="C98" s="1150" t="s">
        <v>971</v>
      </c>
      <c r="D98" s="1150"/>
      <c r="E98" s="1150"/>
      <c r="F98" s="1151"/>
      <c r="G98" s="260">
        <v>0</v>
      </c>
      <c r="H98" s="260">
        <v>6379900</v>
      </c>
      <c r="I98" s="260">
        <v>0</v>
      </c>
      <c r="J98" s="260">
        <v>0</v>
      </c>
      <c r="K98" s="260">
        <v>0</v>
      </c>
      <c r="L98" s="260">
        <f t="shared" si="8"/>
        <v>6379900</v>
      </c>
      <c r="M98" s="262">
        <f t="shared" si="4"/>
        <v>97403.053435114503</v>
      </c>
      <c r="N98" s="264">
        <v>0</v>
      </c>
      <c r="O98" s="265">
        <f>-37403.05-60000</f>
        <v>-97403.05</v>
      </c>
      <c r="P98" s="263">
        <f t="shared" si="10"/>
        <v>3.4351145004620776E-3</v>
      </c>
      <c r="Q98" s="263">
        <v>0</v>
      </c>
      <c r="R98" s="263">
        <f t="shared" si="5"/>
        <v>3.4351145004620776E-3</v>
      </c>
    </row>
    <row r="99" spans="2:18" ht="38.1" customHeight="1" x14ac:dyDescent="0.3">
      <c r="B99" s="259" t="s">
        <v>972</v>
      </c>
      <c r="C99" s="1150" t="s">
        <v>973</v>
      </c>
      <c r="D99" s="1150"/>
      <c r="E99" s="1150"/>
      <c r="F99" s="1151"/>
      <c r="G99" s="260">
        <v>0</v>
      </c>
      <c r="H99" s="260">
        <v>10207840</v>
      </c>
      <c r="I99" s="260">
        <v>2548567.81</v>
      </c>
      <c r="J99" s="260">
        <v>651456.68999999994</v>
      </c>
      <c r="K99" s="260">
        <v>442636.19</v>
      </c>
      <c r="L99" s="260">
        <f t="shared" si="8"/>
        <v>9765203.8100000005</v>
      </c>
      <c r="M99" s="262">
        <f t="shared" si="4"/>
        <v>149087.0810687023</v>
      </c>
      <c r="N99" s="354">
        <v>10000</v>
      </c>
      <c r="O99" s="265">
        <v>-126935.45</v>
      </c>
      <c r="P99" s="263">
        <f t="shared" si="10"/>
        <v>32151.631068702307</v>
      </c>
      <c r="Q99" s="263">
        <v>0</v>
      </c>
      <c r="R99" s="263">
        <f t="shared" si="5"/>
        <v>32151.631068702307</v>
      </c>
    </row>
    <row r="100" spans="2:18" ht="38.1" customHeight="1" x14ac:dyDescent="0.3">
      <c r="B100" s="184" t="s">
        <v>974</v>
      </c>
      <c r="C100" s="1157" t="s">
        <v>941</v>
      </c>
      <c r="D100" s="1157"/>
      <c r="E100" s="1157"/>
      <c r="F100" s="1158"/>
      <c r="G100" s="211">
        <v>0</v>
      </c>
      <c r="H100" s="211">
        <v>26472.76</v>
      </c>
      <c r="I100" s="211">
        <v>0</v>
      </c>
      <c r="J100" s="211">
        <v>0</v>
      </c>
      <c r="K100" s="211">
        <v>0</v>
      </c>
      <c r="L100" s="211">
        <f t="shared" si="8"/>
        <v>26472.76</v>
      </c>
      <c r="M100" s="213">
        <f t="shared" si="4"/>
        <v>404.1642748091603</v>
      </c>
      <c r="N100" s="256">
        <v>0</v>
      </c>
      <c r="O100" s="234">
        <v>0</v>
      </c>
      <c r="P100" s="203">
        <f t="shared" si="10"/>
        <v>404.1642748091603</v>
      </c>
      <c r="Q100" s="203">
        <v>0</v>
      </c>
      <c r="R100" s="203">
        <f t="shared" si="5"/>
        <v>404.1642748091603</v>
      </c>
    </row>
    <row r="101" spans="2:18" ht="38.1" customHeight="1" x14ac:dyDescent="0.3">
      <c r="B101" s="259" t="s">
        <v>975</v>
      </c>
      <c r="C101" s="1150" t="s">
        <v>976</v>
      </c>
      <c r="D101" s="1150"/>
      <c r="E101" s="1150"/>
      <c r="F101" s="1151"/>
      <c r="G101" s="260">
        <v>0</v>
      </c>
      <c r="H101" s="260">
        <v>0</v>
      </c>
      <c r="I101" s="260">
        <v>0</v>
      </c>
      <c r="J101" s="260">
        <v>0</v>
      </c>
      <c r="K101" s="260">
        <v>0</v>
      </c>
      <c r="L101" s="260">
        <f t="shared" si="8"/>
        <v>0</v>
      </c>
      <c r="M101" s="328">
        <f t="shared" si="4"/>
        <v>0</v>
      </c>
      <c r="N101" s="264">
        <v>0</v>
      </c>
      <c r="O101" s="265">
        <v>0</v>
      </c>
      <c r="P101" s="263">
        <f t="shared" si="10"/>
        <v>0</v>
      </c>
      <c r="Q101" s="263">
        <v>0</v>
      </c>
      <c r="R101" s="263">
        <f t="shared" si="5"/>
        <v>0</v>
      </c>
    </row>
    <row r="102" spans="2:18" ht="38.1" customHeight="1" x14ac:dyDescent="0.3">
      <c r="B102" s="259" t="s">
        <v>977</v>
      </c>
      <c r="C102" s="1150" t="s">
        <v>976</v>
      </c>
      <c r="D102" s="1150"/>
      <c r="E102" s="1150"/>
      <c r="F102" s="1151"/>
      <c r="G102" s="260">
        <v>0</v>
      </c>
      <c r="H102" s="260">
        <v>0</v>
      </c>
      <c r="I102" s="260">
        <v>0</v>
      </c>
      <c r="J102" s="260">
        <v>0</v>
      </c>
      <c r="K102" s="260">
        <v>0</v>
      </c>
      <c r="L102" s="260">
        <f t="shared" si="8"/>
        <v>0</v>
      </c>
      <c r="M102" s="328">
        <f t="shared" si="4"/>
        <v>0</v>
      </c>
      <c r="N102" s="264">
        <v>0</v>
      </c>
      <c r="O102" s="265">
        <v>0</v>
      </c>
      <c r="P102" s="263">
        <f t="shared" si="10"/>
        <v>0</v>
      </c>
      <c r="Q102" s="263">
        <v>0</v>
      </c>
      <c r="R102" s="263">
        <f t="shared" si="5"/>
        <v>0</v>
      </c>
    </row>
    <row r="103" spans="2:18" ht="38.1" customHeight="1" x14ac:dyDescent="0.3">
      <c r="B103" s="185" t="s">
        <v>978</v>
      </c>
      <c r="C103" s="1152" t="s">
        <v>75</v>
      </c>
      <c r="D103" s="1152"/>
      <c r="E103" s="1152"/>
      <c r="F103" s="1153"/>
      <c r="G103" s="217">
        <v>0</v>
      </c>
      <c r="H103" s="217">
        <v>14988794.15</v>
      </c>
      <c r="I103" s="217">
        <v>0</v>
      </c>
      <c r="J103" s="217">
        <v>0</v>
      </c>
      <c r="K103" s="217">
        <v>0</v>
      </c>
      <c r="L103" s="217">
        <f t="shared" si="8"/>
        <v>14988794.15</v>
      </c>
      <c r="M103" s="220">
        <f t="shared" si="4"/>
        <v>228836.55190839694</v>
      </c>
      <c r="N103" s="255">
        <v>60000</v>
      </c>
      <c r="O103" s="235">
        <v>-168836.55</v>
      </c>
      <c r="P103" s="205">
        <f t="shared" si="10"/>
        <v>120000.00190839695</v>
      </c>
      <c r="Q103" s="205">
        <v>50000</v>
      </c>
      <c r="R103" s="205">
        <f t="shared" si="5"/>
        <v>70000.001908396953</v>
      </c>
    </row>
    <row r="104" spans="2:18" ht="38.1" customHeight="1" x14ac:dyDescent="0.3">
      <c r="B104" s="184" t="s">
        <v>979</v>
      </c>
      <c r="C104" s="1157" t="s">
        <v>111</v>
      </c>
      <c r="D104" s="1157"/>
      <c r="E104" s="1157"/>
      <c r="F104" s="1158"/>
      <c r="G104" s="211">
        <v>0</v>
      </c>
      <c r="H104" s="211">
        <v>1588357.13</v>
      </c>
      <c r="I104" s="211">
        <v>0</v>
      </c>
      <c r="J104" s="211">
        <v>0</v>
      </c>
      <c r="K104" s="211">
        <v>0</v>
      </c>
      <c r="L104" s="211">
        <f t="shared" si="8"/>
        <v>1588357.13</v>
      </c>
      <c r="M104" s="213">
        <f t="shared" si="4"/>
        <v>24249.727175572516</v>
      </c>
      <c r="N104" s="201">
        <v>0</v>
      </c>
      <c r="O104" s="234">
        <v>0</v>
      </c>
      <c r="P104" s="203">
        <f t="shared" si="10"/>
        <v>24249.727175572516</v>
      </c>
      <c r="Q104" s="203">
        <v>12249.73</v>
      </c>
      <c r="R104" s="203">
        <f t="shared" si="5"/>
        <v>11999.997175572516</v>
      </c>
    </row>
    <row r="105" spans="2:18" ht="38.1" customHeight="1" x14ac:dyDescent="0.3">
      <c r="B105" s="185" t="s">
        <v>980</v>
      </c>
      <c r="C105" s="1152" t="s">
        <v>185</v>
      </c>
      <c r="D105" s="1152"/>
      <c r="E105" s="1152"/>
      <c r="F105" s="1153"/>
      <c r="G105" s="217">
        <v>0</v>
      </c>
      <c r="H105" s="217">
        <v>105890.39</v>
      </c>
      <c r="I105" s="217">
        <v>0</v>
      </c>
      <c r="J105" s="217">
        <v>0</v>
      </c>
      <c r="K105" s="217">
        <v>0</v>
      </c>
      <c r="L105" s="217">
        <f t="shared" si="8"/>
        <v>105890.39</v>
      </c>
      <c r="M105" s="220">
        <f t="shared" si="4"/>
        <v>1616.647175572519</v>
      </c>
      <c r="N105" s="202">
        <v>0</v>
      </c>
      <c r="O105" s="235">
        <v>0</v>
      </c>
      <c r="P105" s="205">
        <f t="shared" si="10"/>
        <v>1616.647175572519</v>
      </c>
      <c r="Q105" s="205">
        <v>1000</v>
      </c>
      <c r="R105" s="205">
        <f t="shared" si="5"/>
        <v>616.64717557251902</v>
      </c>
    </row>
    <row r="106" spans="2:18" ht="38.1" customHeight="1" x14ac:dyDescent="0.3">
      <c r="B106" s="184" t="s">
        <v>981</v>
      </c>
      <c r="C106" s="1157" t="s">
        <v>892</v>
      </c>
      <c r="D106" s="1157"/>
      <c r="E106" s="1157"/>
      <c r="F106" s="1158"/>
      <c r="G106" s="211">
        <v>0</v>
      </c>
      <c r="H106" s="211">
        <v>397089.44</v>
      </c>
      <c r="I106" s="211">
        <v>0</v>
      </c>
      <c r="J106" s="211">
        <v>0</v>
      </c>
      <c r="K106" s="211">
        <v>0</v>
      </c>
      <c r="L106" s="211">
        <f t="shared" si="8"/>
        <v>397089.44</v>
      </c>
      <c r="M106" s="213">
        <f t="shared" si="4"/>
        <v>6062.4341984732828</v>
      </c>
      <c r="N106" s="201">
        <v>0</v>
      </c>
      <c r="O106" s="234">
        <v>0</v>
      </c>
      <c r="P106" s="203">
        <f t="shared" si="10"/>
        <v>6062.4341984732828</v>
      </c>
      <c r="Q106" s="203">
        <v>3000</v>
      </c>
      <c r="R106" s="203">
        <f t="shared" si="5"/>
        <v>3062.4341984732828</v>
      </c>
    </row>
    <row r="107" spans="2:18" ht="38.1" customHeight="1" x14ac:dyDescent="0.3">
      <c r="B107" s="185" t="s">
        <v>982</v>
      </c>
      <c r="C107" s="1152" t="s">
        <v>193</v>
      </c>
      <c r="D107" s="1152"/>
      <c r="E107" s="1152"/>
      <c r="F107" s="1153"/>
      <c r="G107" s="217">
        <v>0</v>
      </c>
      <c r="H107" s="217">
        <v>39709.14</v>
      </c>
      <c r="I107" s="217">
        <v>0</v>
      </c>
      <c r="J107" s="217">
        <v>0</v>
      </c>
      <c r="K107" s="217">
        <v>0</v>
      </c>
      <c r="L107" s="217">
        <f t="shared" si="8"/>
        <v>39709.14</v>
      </c>
      <c r="M107" s="220">
        <f t="shared" si="4"/>
        <v>606.24641221374043</v>
      </c>
      <c r="N107" s="202">
        <v>0</v>
      </c>
      <c r="O107" s="235">
        <v>0</v>
      </c>
      <c r="P107" s="205">
        <f t="shared" si="10"/>
        <v>606.24641221374043</v>
      </c>
      <c r="Q107" s="205">
        <v>606.25</v>
      </c>
      <c r="R107" s="205">
        <f t="shared" si="5"/>
        <v>-3.5877862595725674E-3</v>
      </c>
    </row>
    <row r="108" spans="2:18" ht="38.1" customHeight="1" x14ac:dyDescent="0.3">
      <c r="B108" s="361" t="s">
        <v>983</v>
      </c>
      <c r="C108" s="1174" t="s">
        <v>916</v>
      </c>
      <c r="D108" s="1174"/>
      <c r="E108" s="1174"/>
      <c r="F108" s="1175"/>
      <c r="G108" s="362" t="s">
        <v>758</v>
      </c>
      <c r="H108" s="362" t="s">
        <v>758</v>
      </c>
      <c r="I108" s="362" t="s">
        <v>758</v>
      </c>
      <c r="J108" s="362" t="s">
        <v>758</v>
      </c>
      <c r="K108" s="362" t="s">
        <v>758</v>
      </c>
      <c r="L108" s="362" t="s">
        <v>758</v>
      </c>
      <c r="M108" s="362" t="s">
        <v>758</v>
      </c>
      <c r="N108" s="368">
        <v>330000</v>
      </c>
      <c r="O108" s="367">
        <v>0</v>
      </c>
      <c r="P108" s="364">
        <f>+N108+O108</f>
        <v>330000</v>
      </c>
      <c r="Q108" s="364">
        <v>330000</v>
      </c>
      <c r="R108" s="364">
        <f>+P108-Q108</f>
        <v>0</v>
      </c>
    </row>
    <row r="109" spans="2:18" ht="66.75" customHeight="1" x14ac:dyDescent="0.3">
      <c r="B109" s="1171" t="s">
        <v>984</v>
      </c>
      <c r="C109" s="1172"/>
      <c r="D109" s="1172"/>
      <c r="E109" s="1172"/>
      <c r="F109" s="1173"/>
      <c r="G109" s="221">
        <v>0</v>
      </c>
      <c r="H109" s="221">
        <v>14542987.15</v>
      </c>
      <c r="I109" s="221">
        <v>0</v>
      </c>
      <c r="J109" s="221">
        <v>0</v>
      </c>
      <c r="K109" s="221">
        <v>0</v>
      </c>
      <c r="L109" s="221">
        <f t="shared" si="8"/>
        <v>14542987.15</v>
      </c>
      <c r="M109" s="222">
        <f t="shared" si="4"/>
        <v>222030.33816793893</v>
      </c>
      <c r="N109" s="223">
        <f>+SUM(N110:N116)</f>
        <v>500052.29</v>
      </c>
      <c r="O109" s="237">
        <f>+SUM(O110:O116)</f>
        <v>-73052.289999999994</v>
      </c>
      <c r="P109" s="224">
        <f>+SUM(P110:P116)</f>
        <v>649030.3383206107</v>
      </c>
      <c r="Q109" s="224">
        <f>+SUM(Q110:Q116)</f>
        <v>495625.84</v>
      </c>
      <c r="R109" s="224">
        <f t="shared" si="5"/>
        <v>153404.49832061067</v>
      </c>
    </row>
    <row r="110" spans="2:18" ht="38.1" customHeight="1" x14ac:dyDescent="0.3">
      <c r="B110" s="185" t="s">
        <v>985</v>
      </c>
      <c r="C110" s="1152" t="s">
        <v>104</v>
      </c>
      <c r="D110" s="1152"/>
      <c r="E110" s="1152"/>
      <c r="F110" s="1153"/>
      <c r="G110" s="217">
        <v>0</v>
      </c>
      <c r="H110" s="217">
        <v>15883.4</v>
      </c>
      <c r="I110" s="217">
        <v>0</v>
      </c>
      <c r="J110" s="217">
        <v>0</v>
      </c>
      <c r="K110" s="217">
        <v>0</v>
      </c>
      <c r="L110" s="217">
        <f t="shared" si="8"/>
        <v>15883.4</v>
      </c>
      <c r="M110" s="220">
        <f t="shared" si="4"/>
        <v>242.49465648854962</v>
      </c>
      <c r="N110" s="202">
        <v>0</v>
      </c>
      <c r="O110" s="235">
        <v>0</v>
      </c>
      <c r="P110" s="205">
        <f t="shared" si="10"/>
        <v>242.49465648854962</v>
      </c>
      <c r="Q110" s="205">
        <v>0</v>
      </c>
      <c r="R110" s="205">
        <f t="shared" si="5"/>
        <v>242.49465648854962</v>
      </c>
    </row>
    <row r="111" spans="2:18" ht="38.1" customHeight="1" x14ac:dyDescent="0.3">
      <c r="B111" s="184" t="s">
        <v>986</v>
      </c>
      <c r="C111" s="1157" t="s">
        <v>941</v>
      </c>
      <c r="D111" s="1157"/>
      <c r="E111" s="1157"/>
      <c r="F111" s="1158"/>
      <c r="G111" s="211">
        <v>0</v>
      </c>
      <c r="H111" s="211">
        <v>5294.68</v>
      </c>
      <c r="I111" s="211">
        <v>0</v>
      </c>
      <c r="J111" s="211">
        <v>0</v>
      </c>
      <c r="K111" s="211">
        <v>0</v>
      </c>
      <c r="L111" s="211">
        <f t="shared" si="8"/>
        <v>5294.68</v>
      </c>
      <c r="M111" s="213">
        <f t="shared" si="4"/>
        <v>80.834809160305355</v>
      </c>
      <c r="N111" s="201">
        <v>0</v>
      </c>
      <c r="O111" s="234">
        <v>0</v>
      </c>
      <c r="P111" s="203">
        <f t="shared" si="10"/>
        <v>80.834809160305355</v>
      </c>
      <c r="Q111" s="203">
        <v>0</v>
      </c>
      <c r="R111" s="203">
        <f t="shared" si="5"/>
        <v>80.834809160305355</v>
      </c>
    </row>
    <row r="112" spans="2:18" ht="38.1" customHeight="1" x14ac:dyDescent="0.3">
      <c r="B112" s="185" t="s">
        <v>987</v>
      </c>
      <c r="C112" s="1152" t="s">
        <v>196</v>
      </c>
      <c r="D112" s="1152"/>
      <c r="E112" s="1152"/>
      <c r="F112" s="1153"/>
      <c r="G112" s="217">
        <v>0</v>
      </c>
      <c r="H112" s="217">
        <v>1678491.72</v>
      </c>
      <c r="I112" s="217">
        <v>0</v>
      </c>
      <c r="J112" s="217">
        <v>0</v>
      </c>
      <c r="K112" s="217">
        <v>0</v>
      </c>
      <c r="L112" s="217">
        <f t="shared" si="8"/>
        <v>1678491.72</v>
      </c>
      <c r="M112" s="220">
        <f t="shared" si="4"/>
        <v>25625.827786259542</v>
      </c>
      <c r="N112" s="255">
        <f>+ 140000+ 280000+7000</f>
        <v>427000</v>
      </c>
      <c r="O112" s="235">
        <v>0</v>
      </c>
      <c r="P112" s="205">
        <f t="shared" si="10"/>
        <v>452625.82778625953</v>
      </c>
      <c r="Q112" s="205">
        <v>420000</v>
      </c>
      <c r="R112" s="205">
        <f t="shared" si="5"/>
        <v>32625.827786259528</v>
      </c>
    </row>
    <row r="113" spans="2:18" ht="38.1" customHeight="1" x14ac:dyDescent="0.3">
      <c r="B113" s="259" t="s">
        <v>988</v>
      </c>
      <c r="C113" s="1150" t="s">
        <v>989</v>
      </c>
      <c r="D113" s="1150"/>
      <c r="E113" s="1150"/>
      <c r="F113" s="1151"/>
      <c r="G113" s="260">
        <v>0</v>
      </c>
      <c r="H113" s="260">
        <v>1678492.36</v>
      </c>
      <c r="I113" s="260">
        <v>0</v>
      </c>
      <c r="J113" s="260">
        <v>0</v>
      </c>
      <c r="K113" s="260">
        <v>0</v>
      </c>
      <c r="L113" s="260">
        <f t="shared" si="8"/>
        <v>1678492.36</v>
      </c>
      <c r="M113" s="262">
        <f t="shared" si="4"/>
        <v>25625.837557251911</v>
      </c>
      <c r="N113" s="264">
        <v>0</v>
      </c>
      <c r="O113" s="265">
        <v>0</v>
      </c>
      <c r="P113" s="263">
        <f t="shared" si="10"/>
        <v>25625.837557251911</v>
      </c>
      <c r="Q113" s="263">
        <v>25625.84</v>
      </c>
      <c r="R113" s="263">
        <f t="shared" si="5"/>
        <v>-2.4427480893791653E-3</v>
      </c>
    </row>
    <row r="114" spans="2:18" ht="38.1" customHeight="1" x14ac:dyDescent="0.3">
      <c r="B114" s="185" t="s">
        <v>990</v>
      </c>
      <c r="C114" s="1152" t="s">
        <v>75</v>
      </c>
      <c r="D114" s="1152"/>
      <c r="E114" s="1152"/>
      <c r="F114" s="1153"/>
      <c r="G114" s="217">
        <v>0</v>
      </c>
      <c r="H114" s="217">
        <v>1594975</v>
      </c>
      <c r="I114" s="217">
        <v>0</v>
      </c>
      <c r="J114" s="217">
        <v>0</v>
      </c>
      <c r="K114" s="217">
        <v>0</v>
      </c>
      <c r="L114" s="217">
        <f t="shared" si="8"/>
        <v>1594975</v>
      </c>
      <c r="M114" s="220">
        <f t="shared" si="4"/>
        <v>24350.763358778626</v>
      </c>
      <c r="N114" s="202">
        <v>73052.289999999994</v>
      </c>
      <c r="O114" s="235">
        <v>0</v>
      </c>
      <c r="P114" s="205">
        <f t="shared" si="10"/>
        <v>97403.053358778619</v>
      </c>
      <c r="Q114" s="205">
        <v>25000</v>
      </c>
      <c r="R114" s="205">
        <f t="shared" si="5"/>
        <v>72403.053358778619</v>
      </c>
    </row>
    <row r="115" spans="2:18" ht="38.1" customHeight="1" x14ac:dyDescent="0.3">
      <c r="B115" s="259" t="s">
        <v>991</v>
      </c>
      <c r="C115" s="1150" t="s">
        <v>992</v>
      </c>
      <c r="D115" s="1150"/>
      <c r="E115" s="1150"/>
      <c r="F115" s="1151"/>
      <c r="G115" s="260">
        <v>0</v>
      </c>
      <c r="H115" s="260">
        <v>4784925</v>
      </c>
      <c r="I115" s="260">
        <v>0</v>
      </c>
      <c r="J115" s="260">
        <v>0</v>
      </c>
      <c r="K115" s="260">
        <v>0</v>
      </c>
      <c r="L115" s="260">
        <f t="shared" si="8"/>
        <v>4784925</v>
      </c>
      <c r="M115" s="262">
        <f t="shared" si="4"/>
        <v>73052.290076335878</v>
      </c>
      <c r="N115" s="264">
        <v>0</v>
      </c>
      <c r="O115" s="265">
        <v>-73052.289999999994</v>
      </c>
      <c r="P115" s="263">
        <f t="shared" si="10"/>
        <v>7.6335883932188153E-5</v>
      </c>
      <c r="Q115" s="263">
        <v>0</v>
      </c>
      <c r="R115" s="263">
        <f t="shared" si="5"/>
        <v>7.6335883932188153E-5</v>
      </c>
    </row>
    <row r="116" spans="2:18" ht="38.1" customHeight="1" x14ac:dyDescent="0.3">
      <c r="B116" s="185" t="s">
        <v>993</v>
      </c>
      <c r="C116" s="1152" t="s">
        <v>189</v>
      </c>
      <c r="D116" s="1152"/>
      <c r="E116" s="1152"/>
      <c r="F116" s="1153"/>
      <c r="G116" s="217">
        <v>0</v>
      </c>
      <c r="H116" s="217">
        <v>4784925</v>
      </c>
      <c r="I116" s="217">
        <v>0</v>
      </c>
      <c r="J116" s="217">
        <v>0</v>
      </c>
      <c r="K116" s="217">
        <v>0</v>
      </c>
      <c r="L116" s="217">
        <f t="shared" si="8"/>
        <v>4784925</v>
      </c>
      <c r="M116" s="220">
        <f t="shared" si="4"/>
        <v>73052.290076335878</v>
      </c>
      <c r="N116" s="202">
        <v>0</v>
      </c>
      <c r="O116" s="235">
        <v>0</v>
      </c>
      <c r="P116" s="205">
        <f t="shared" si="10"/>
        <v>73052.290076335878</v>
      </c>
      <c r="Q116" s="205">
        <v>25000</v>
      </c>
      <c r="R116" s="205">
        <f t="shared" si="5"/>
        <v>48052.290076335878</v>
      </c>
    </row>
    <row r="117" spans="2:18" ht="38.1" customHeight="1" x14ac:dyDescent="0.3">
      <c r="B117" s="1171" t="s">
        <v>994</v>
      </c>
      <c r="C117" s="1172"/>
      <c r="D117" s="1172"/>
      <c r="E117" s="1172"/>
      <c r="F117" s="1173"/>
      <c r="G117" s="221">
        <v>0</v>
      </c>
      <c r="H117" s="221">
        <v>146968848.88</v>
      </c>
      <c r="I117" s="221">
        <v>2625203.17</v>
      </c>
      <c r="J117" s="221">
        <v>872774.79</v>
      </c>
      <c r="K117" s="221">
        <v>872774.79</v>
      </c>
      <c r="L117" s="221">
        <f t="shared" si="8"/>
        <v>146096074.09</v>
      </c>
      <c r="M117" s="222">
        <f t="shared" si="4"/>
        <v>2230474.4135877863</v>
      </c>
      <c r="N117" s="223">
        <f>+SUM(N118:N130)</f>
        <v>536033.24</v>
      </c>
      <c r="O117" s="237">
        <f>+SUM(O118:O130)</f>
        <v>-1350188.35</v>
      </c>
      <c r="P117" s="224">
        <f>+SUM(P118:P130)</f>
        <v>1416319.3032824427</v>
      </c>
      <c r="Q117" s="224">
        <f>+SUM(Q118:Q130)</f>
        <v>556500</v>
      </c>
      <c r="R117" s="224">
        <f t="shared" si="5"/>
        <v>859819.30328244274</v>
      </c>
    </row>
    <row r="118" spans="2:18" ht="38.1" customHeight="1" x14ac:dyDescent="0.3">
      <c r="B118" s="185" t="s">
        <v>995</v>
      </c>
      <c r="C118" s="1152" t="s">
        <v>104</v>
      </c>
      <c r="D118" s="1152"/>
      <c r="E118" s="1152"/>
      <c r="F118" s="1153"/>
      <c r="G118" s="217">
        <v>0</v>
      </c>
      <c r="H118" s="217">
        <v>52945.51</v>
      </c>
      <c r="I118" s="217">
        <v>0</v>
      </c>
      <c r="J118" s="217">
        <v>0</v>
      </c>
      <c r="K118" s="217">
        <v>0</v>
      </c>
      <c r="L118" s="217">
        <f t="shared" si="8"/>
        <v>52945.51</v>
      </c>
      <c r="M118" s="220">
        <f t="shared" si="4"/>
        <v>808.32839694656491</v>
      </c>
      <c r="N118" s="251">
        <v>0</v>
      </c>
      <c r="O118" s="252">
        <v>0</v>
      </c>
      <c r="P118" s="205">
        <f t="shared" si="10"/>
        <v>808.32839694656491</v>
      </c>
      <c r="Q118" s="205">
        <v>0</v>
      </c>
      <c r="R118" s="205">
        <f t="shared" si="5"/>
        <v>808.32839694656491</v>
      </c>
    </row>
    <row r="119" spans="2:18" ht="38.1" customHeight="1" x14ac:dyDescent="0.3">
      <c r="B119" s="259" t="s">
        <v>996</v>
      </c>
      <c r="C119" s="1150" t="s">
        <v>997</v>
      </c>
      <c r="D119" s="1150"/>
      <c r="E119" s="1150"/>
      <c r="F119" s="1151"/>
      <c r="G119" s="260">
        <v>0</v>
      </c>
      <c r="H119" s="260">
        <v>19631250.879999999</v>
      </c>
      <c r="I119" s="260">
        <v>0</v>
      </c>
      <c r="J119" s="260">
        <v>0</v>
      </c>
      <c r="K119" s="260">
        <v>0</v>
      </c>
      <c r="L119" s="260">
        <f t="shared" si="8"/>
        <v>19631250.879999999</v>
      </c>
      <c r="M119" s="262">
        <f t="shared" si="4"/>
        <v>299713.75389312976</v>
      </c>
      <c r="N119" s="355">
        <v>0</v>
      </c>
      <c r="O119" s="356">
        <v>-140000</v>
      </c>
      <c r="P119" s="263">
        <f t="shared" si="10"/>
        <v>159713.75389312976</v>
      </c>
      <c r="Q119" s="263">
        <v>0</v>
      </c>
      <c r="R119" s="263">
        <f t="shared" si="5"/>
        <v>159713.75389312976</v>
      </c>
    </row>
    <row r="120" spans="2:18" ht="38.1" customHeight="1" x14ac:dyDescent="0.3">
      <c r="B120" s="185" t="s">
        <v>998</v>
      </c>
      <c r="C120" s="1152" t="s">
        <v>193</v>
      </c>
      <c r="D120" s="1152"/>
      <c r="E120" s="1152"/>
      <c r="F120" s="1153"/>
      <c r="G120" s="217">
        <v>0</v>
      </c>
      <c r="H120" s="217">
        <v>5294522.7</v>
      </c>
      <c r="I120" s="217">
        <v>0</v>
      </c>
      <c r="J120" s="217">
        <v>0</v>
      </c>
      <c r="K120" s="217">
        <v>0</v>
      </c>
      <c r="L120" s="217">
        <f t="shared" si="8"/>
        <v>5294522.7</v>
      </c>
      <c r="M120" s="220">
        <f t="shared" si="4"/>
        <v>80832.407633587791</v>
      </c>
      <c r="N120" s="251">
        <v>0</v>
      </c>
      <c r="O120" s="252">
        <v>0</v>
      </c>
      <c r="P120" s="205">
        <f t="shared" si="10"/>
        <v>80832.407633587791</v>
      </c>
      <c r="Q120" s="205">
        <v>5000</v>
      </c>
      <c r="R120" s="205">
        <f t="shared" si="5"/>
        <v>75832.407633587791</v>
      </c>
    </row>
    <row r="121" spans="2:18" ht="38.1" customHeight="1" x14ac:dyDescent="0.3">
      <c r="B121" s="184" t="s">
        <v>999</v>
      </c>
      <c r="C121" s="1157" t="s">
        <v>196</v>
      </c>
      <c r="D121" s="1157"/>
      <c r="E121" s="1157"/>
      <c r="F121" s="1158"/>
      <c r="G121" s="211">
        <v>0</v>
      </c>
      <c r="H121" s="211">
        <v>19060282.370000001</v>
      </c>
      <c r="I121" s="211">
        <v>2625203.17</v>
      </c>
      <c r="J121" s="211">
        <v>872774.79</v>
      </c>
      <c r="K121" s="211">
        <v>872774.79</v>
      </c>
      <c r="L121" s="211">
        <f t="shared" si="8"/>
        <v>18187507.580000002</v>
      </c>
      <c r="M121" s="213">
        <f t="shared" si="4"/>
        <v>277671.8714503817</v>
      </c>
      <c r="N121" s="256">
        <v>0</v>
      </c>
      <c r="O121" s="326">
        <f>-140000-10000</f>
        <v>-150000</v>
      </c>
      <c r="P121" s="203">
        <f t="shared" si="10"/>
        <v>127671.8714503817</v>
      </c>
      <c r="Q121" s="203">
        <v>30000</v>
      </c>
      <c r="R121" s="203">
        <f t="shared" si="5"/>
        <v>97671.871450381703</v>
      </c>
    </row>
    <row r="122" spans="2:18" ht="38.1" customHeight="1" x14ac:dyDescent="0.3">
      <c r="B122" s="185" t="s">
        <v>1000</v>
      </c>
      <c r="C122" s="1152" t="s">
        <v>189</v>
      </c>
      <c r="D122" s="1152"/>
      <c r="E122" s="1152"/>
      <c r="F122" s="1153"/>
      <c r="G122" s="217">
        <v>0</v>
      </c>
      <c r="H122" s="217">
        <v>12759800</v>
      </c>
      <c r="I122" s="217">
        <v>0</v>
      </c>
      <c r="J122" s="217">
        <v>0</v>
      </c>
      <c r="K122" s="217">
        <v>0</v>
      </c>
      <c r="L122" s="217">
        <f t="shared" si="8"/>
        <v>12759800</v>
      </c>
      <c r="M122" s="220">
        <f t="shared" si="4"/>
        <v>194806.10687022901</v>
      </c>
      <c r="N122" s="251">
        <v>0</v>
      </c>
      <c r="O122" s="252">
        <v>-50000</v>
      </c>
      <c r="P122" s="205">
        <f t="shared" si="10"/>
        <v>144806.10687022901</v>
      </c>
      <c r="Q122" s="205">
        <v>15000</v>
      </c>
      <c r="R122" s="205">
        <f t="shared" si="5"/>
        <v>129806.10687022901</v>
      </c>
    </row>
    <row r="123" spans="2:18" ht="38.1" customHeight="1" x14ac:dyDescent="0.3">
      <c r="B123" s="184" t="s">
        <v>1001</v>
      </c>
      <c r="C123" s="1157" t="s">
        <v>941</v>
      </c>
      <c r="D123" s="1157"/>
      <c r="E123" s="1157"/>
      <c r="F123" s="1158"/>
      <c r="G123" s="211">
        <v>0</v>
      </c>
      <c r="H123" s="211">
        <v>21178.080000000002</v>
      </c>
      <c r="I123" s="211">
        <v>0</v>
      </c>
      <c r="J123" s="211">
        <v>0</v>
      </c>
      <c r="K123" s="211">
        <v>0</v>
      </c>
      <c r="L123" s="211">
        <f t="shared" si="8"/>
        <v>21178.080000000002</v>
      </c>
      <c r="M123" s="213">
        <f t="shared" si="4"/>
        <v>323.32946564885498</v>
      </c>
      <c r="N123" s="256">
        <v>0</v>
      </c>
      <c r="O123" s="326">
        <v>0</v>
      </c>
      <c r="P123" s="203">
        <f t="shared" si="10"/>
        <v>323.32946564885498</v>
      </c>
      <c r="Q123" s="203">
        <v>0</v>
      </c>
      <c r="R123" s="203">
        <f t="shared" si="5"/>
        <v>323.32946564885498</v>
      </c>
    </row>
    <row r="124" spans="2:18" ht="38.1" customHeight="1" x14ac:dyDescent="0.3">
      <c r="B124" s="185" t="s">
        <v>1002</v>
      </c>
      <c r="C124" s="1152" t="s">
        <v>916</v>
      </c>
      <c r="D124" s="1152"/>
      <c r="E124" s="1152"/>
      <c r="F124" s="1153"/>
      <c r="G124" s="217">
        <v>0</v>
      </c>
      <c r="H124" s="217">
        <v>18484502.77</v>
      </c>
      <c r="I124" s="217">
        <v>0</v>
      </c>
      <c r="J124" s="217">
        <v>0</v>
      </c>
      <c r="K124" s="217">
        <v>0</v>
      </c>
      <c r="L124" s="217">
        <f t="shared" si="8"/>
        <v>18484502.77</v>
      </c>
      <c r="M124" s="220">
        <f t="shared" si="4"/>
        <v>282206.14916030533</v>
      </c>
      <c r="N124" s="255">
        <f>30000+10000+50000</f>
        <v>90000</v>
      </c>
      <c r="O124" s="252">
        <v>0</v>
      </c>
      <c r="P124" s="205">
        <f t="shared" si="10"/>
        <v>372206.14916030533</v>
      </c>
      <c r="Q124" s="205">
        <f>200000+105000+10000+48000</f>
        <v>363000</v>
      </c>
      <c r="R124" s="205">
        <f t="shared" si="5"/>
        <v>9206.1491603053291</v>
      </c>
    </row>
    <row r="125" spans="2:18" ht="38.1" customHeight="1" x14ac:dyDescent="0.3">
      <c r="B125" s="184" t="s">
        <v>1003</v>
      </c>
      <c r="C125" s="1157" t="s">
        <v>884</v>
      </c>
      <c r="D125" s="1157"/>
      <c r="E125" s="1157"/>
      <c r="F125" s="1158"/>
      <c r="G125" s="211">
        <v>0</v>
      </c>
      <c r="H125" s="211">
        <v>19007336.850000001</v>
      </c>
      <c r="I125" s="211">
        <v>0</v>
      </c>
      <c r="J125" s="211">
        <v>0</v>
      </c>
      <c r="K125" s="211">
        <v>0</v>
      </c>
      <c r="L125" s="211">
        <f t="shared" si="8"/>
        <v>19007336.850000001</v>
      </c>
      <c r="M125" s="213">
        <f t="shared" si="4"/>
        <v>290188.34885496186</v>
      </c>
      <c r="N125" s="327">
        <f>290188.35+155844.89</f>
        <v>446033.24</v>
      </c>
      <c r="O125" s="326">
        <f>-300000-30000-140000</f>
        <v>-470000</v>
      </c>
      <c r="P125" s="203">
        <f>+M125+O125+N125</f>
        <v>266221.58885496185</v>
      </c>
      <c r="Q125" s="203">
        <v>79500</v>
      </c>
      <c r="R125" s="203">
        <f t="shared" si="5"/>
        <v>186721.58885496185</v>
      </c>
    </row>
    <row r="126" spans="2:18" ht="38.1" customHeight="1" x14ac:dyDescent="0.3">
      <c r="B126" s="259" t="s">
        <v>1004</v>
      </c>
      <c r="C126" s="1150" t="s">
        <v>884</v>
      </c>
      <c r="D126" s="1150"/>
      <c r="E126" s="1150"/>
      <c r="F126" s="1151"/>
      <c r="G126" s="260">
        <v>0</v>
      </c>
      <c r="H126" s="260">
        <v>19007336.850000001</v>
      </c>
      <c r="I126" s="260">
        <v>0</v>
      </c>
      <c r="J126" s="260">
        <v>0</v>
      </c>
      <c r="K126" s="260">
        <v>0</v>
      </c>
      <c r="L126" s="260">
        <f t="shared" si="8"/>
        <v>19007336.850000001</v>
      </c>
      <c r="M126" s="262">
        <f t="shared" si="4"/>
        <v>290188.34885496186</v>
      </c>
      <c r="N126" s="355">
        <v>0</v>
      </c>
      <c r="O126" s="356">
        <v>-290188.34999999998</v>
      </c>
      <c r="P126" s="263">
        <f t="shared" si="10"/>
        <v>-1.14503811346367E-3</v>
      </c>
      <c r="Q126" s="263">
        <v>0</v>
      </c>
      <c r="R126" s="263">
        <f t="shared" si="5"/>
        <v>-1.14503811346367E-3</v>
      </c>
    </row>
    <row r="127" spans="2:18" ht="38.1" customHeight="1" x14ac:dyDescent="0.3">
      <c r="B127" s="184" t="s">
        <v>1005</v>
      </c>
      <c r="C127" s="1157" t="s">
        <v>106</v>
      </c>
      <c r="D127" s="1157"/>
      <c r="E127" s="1157"/>
      <c r="F127" s="1158"/>
      <c r="G127" s="211">
        <v>0</v>
      </c>
      <c r="H127" s="211">
        <v>15330644.5</v>
      </c>
      <c r="I127" s="211">
        <v>0</v>
      </c>
      <c r="J127" s="211">
        <v>0</v>
      </c>
      <c r="K127" s="211">
        <v>0</v>
      </c>
      <c r="L127" s="211">
        <f t="shared" si="8"/>
        <v>15330644.5</v>
      </c>
      <c r="M127" s="213">
        <f t="shared" si="4"/>
        <v>234055.64122137404</v>
      </c>
      <c r="N127" s="256">
        <v>0</v>
      </c>
      <c r="O127" s="326">
        <v>-150000</v>
      </c>
      <c r="P127" s="203">
        <f t="shared" si="10"/>
        <v>84055.64122137404</v>
      </c>
      <c r="Q127" s="203">
        <v>25000</v>
      </c>
      <c r="R127" s="203">
        <f t="shared" si="5"/>
        <v>59055.64122137404</v>
      </c>
    </row>
    <row r="128" spans="2:18" ht="38.1" customHeight="1" x14ac:dyDescent="0.3">
      <c r="B128" s="185" t="s">
        <v>1006</v>
      </c>
      <c r="C128" s="1152" t="s">
        <v>111</v>
      </c>
      <c r="D128" s="1152"/>
      <c r="E128" s="1152"/>
      <c r="F128" s="1153"/>
      <c r="G128" s="217">
        <v>0</v>
      </c>
      <c r="H128" s="217">
        <v>10589045.4</v>
      </c>
      <c r="I128" s="217">
        <v>0</v>
      </c>
      <c r="J128" s="217">
        <v>0</v>
      </c>
      <c r="K128" s="217">
        <v>0</v>
      </c>
      <c r="L128" s="217">
        <f t="shared" si="8"/>
        <v>10589045.4</v>
      </c>
      <c r="M128" s="220">
        <f t="shared" si="4"/>
        <v>161664.81526717558</v>
      </c>
      <c r="N128" s="251">
        <v>0</v>
      </c>
      <c r="O128" s="252">
        <v>-100000</v>
      </c>
      <c r="P128" s="205">
        <f t="shared" si="10"/>
        <v>61664.815267175582</v>
      </c>
      <c r="Q128" s="205">
        <v>12000</v>
      </c>
      <c r="R128" s="205">
        <f t="shared" si="5"/>
        <v>49664.815267175582</v>
      </c>
    </row>
    <row r="129" spans="2:18" ht="38.1" customHeight="1" x14ac:dyDescent="0.3">
      <c r="B129" s="184" t="s">
        <v>1007</v>
      </c>
      <c r="C129" s="1157" t="s">
        <v>185</v>
      </c>
      <c r="D129" s="1157"/>
      <c r="E129" s="1157"/>
      <c r="F129" s="1158"/>
      <c r="G129" s="211">
        <v>0</v>
      </c>
      <c r="H129" s="211">
        <v>2435480.25</v>
      </c>
      <c r="I129" s="211">
        <v>0</v>
      </c>
      <c r="J129" s="211">
        <v>0</v>
      </c>
      <c r="K129" s="211">
        <v>0</v>
      </c>
      <c r="L129" s="211">
        <f t="shared" si="8"/>
        <v>2435480.25</v>
      </c>
      <c r="M129" s="213">
        <f t="shared" si="4"/>
        <v>37182.904580152674</v>
      </c>
      <c r="N129" s="256">
        <v>0</v>
      </c>
      <c r="O129" s="326">
        <v>0</v>
      </c>
      <c r="P129" s="203">
        <f t="shared" si="10"/>
        <v>37182.904580152674</v>
      </c>
      <c r="Q129" s="203">
        <v>12000</v>
      </c>
      <c r="R129" s="203">
        <f t="shared" si="5"/>
        <v>25182.904580152674</v>
      </c>
    </row>
    <row r="130" spans="2:18" ht="38.1" customHeight="1" x14ac:dyDescent="0.3">
      <c r="B130" s="185" t="s">
        <v>1008</v>
      </c>
      <c r="C130" s="1152" t="s">
        <v>892</v>
      </c>
      <c r="D130" s="1152"/>
      <c r="E130" s="1152"/>
      <c r="F130" s="1153"/>
      <c r="G130" s="217">
        <v>0</v>
      </c>
      <c r="H130" s="217">
        <v>5294522.7</v>
      </c>
      <c r="I130" s="217">
        <v>0</v>
      </c>
      <c r="J130" s="217">
        <v>0</v>
      </c>
      <c r="K130" s="217">
        <v>0</v>
      </c>
      <c r="L130" s="217">
        <f t="shared" si="8"/>
        <v>5294522.7</v>
      </c>
      <c r="M130" s="220">
        <f t="shared" si="4"/>
        <v>80832.407633587791</v>
      </c>
      <c r="N130" s="251">
        <v>0</v>
      </c>
      <c r="O130" s="252">
        <v>0</v>
      </c>
      <c r="P130" s="205">
        <f t="shared" si="10"/>
        <v>80832.407633587791</v>
      </c>
      <c r="Q130" s="205">
        <v>15000</v>
      </c>
      <c r="R130" s="205">
        <f t="shared" si="5"/>
        <v>65832.407633587791</v>
      </c>
    </row>
    <row r="131" spans="2:18" ht="38.1" customHeight="1" x14ac:dyDescent="0.3">
      <c r="B131" s="1171" t="s">
        <v>1009</v>
      </c>
      <c r="C131" s="1172"/>
      <c r="D131" s="1172"/>
      <c r="E131" s="1172"/>
      <c r="F131" s="1173"/>
      <c r="G131" s="221">
        <v>0</v>
      </c>
      <c r="H131" s="221">
        <v>42181463.590000004</v>
      </c>
      <c r="I131" s="221">
        <v>4789820.3</v>
      </c>
      <c r="J131" s="221">
        <v>1209063.1399999999</v>
      </c>
      <c r="K131" s="221">
        <v>818307.67</v>
      </c>
      <c r="L131" s="221">
        <f t="shared" si="8"/>
        <v>41363155.920000002</v>
      </c>
      <c r="M131" s="222">
        <f t="shared" si="4"/>
        <v>631498.56366412214</v>
      </c>
      <c r="N131" s="223">
        <f>+SUM(N132:N142)</f>
        <v>50000</v>
      </c>
      <c r="O131" s="237">
        <f>+SUM(O132:O142)</f>
        <v>-332717.86</v>
      </c>
      <c r="P131" s="224">
        <f>+SUM(P132:P142)</f>
        <v>348780.70381679392</v>
      </c>
      <c r="Q131" s="224">
        <f>+SUM(Q132:Q142)</f>
        <v>210227.49</v>
      </c>
      <c r="R131" s="224">
        <f t="shared" si="5"/>
        <v>138553.21381679393</v>
      </c>
    </row>
    <row r="132" spans="2:18" ht="38.1" customHeight="1" x14ac:dyDescent="0.3">
      <c r="B132" s="185" t="s">
        <v>1010</v>
      </c>
      <c r="C132" s="1152" t="s">
        <v>104</v>
      </c>
      <c r="D132" s="1152"/>
      <c r="E132" s="1152"/>
      <c r="F132" s="1153"/>
      <c r="G132" s="217">
        <v>0</v>
      </c>
      <c r="H132" s="217">
        <v>79417.63</v>
      </c>
      <c r="I132" s="217">
        <v>0</v>
      </c>
      <c r="J132" s="217">
        <v>0</v>
      </c>
      <c r="K132" s="217">
        <v>0</v>
      </c>
      <c r="L132" s="217">
        <f t="shared" si="8"/>
        <v>79417.63</v>
      </c>
      <c r="M132" s="220">
        <f t="shared" si="4"/>
        <v>1212.4829007633589</v>
      </c>
      <c r="N132" s="202">
        <v>0</v>
      </c>
      <c r="O132" s="235">
        <v>0</v>
      </c>
      <c r="P132" s="205">
        <f t="shared" si="10"/>
        <v>1212.4829007633589</v>
      </c>
      <c r="Q132" s="205">
        <v>0</v>
      </c>
      <c r="R132" s="205">
        <f t="shared" si="5"/>
        <v>1212.4829007633589</v>
      </c>
    </row>
    <row r="133" spans="2:18" ht="38.1" customHeight="1" x14ac:dyDescent="0.3">
      <c r="B133" s="184" t="s">
        <v>1011</v>
      </c>
      <c r="C133" s="1157" t="s">
        <v>193</v>
      </c>
      <c r="D133" s="1157"/>
      <c r="E133" s="1157"/>
      <c r="F133" s="1158"/>
      <c r="G133" s="211">
        <v>0</v>
      </c>
      <c r="H133" s="211">
        <v>47650.84</v>
      </c>
      <c r="I133" s="211">
        <v>0</v>
      </c>
      <c r="J133" s="211">
        <v>0</v>
      </c>
      <c r="K133" s="211">
        <v>0</v>
      </c>
      <c r="L133" s="211">
        <f t="shared" si="8"/>
        <v>47650.84</v>
      </c>
      <c r="M133" s="213">
        <f t="shared" ref="M133:M197" si="11">+L133/65.5</f>
        <v>727.49374045801517</v>
      </c>
      <c r="N133" s="201">
        <v>0</v>
      </c>
      <c r="O133" s="234">
        <v>0</v>
      </c>
      <c r="P133" s="203">
        <f t="shared" si="10"/>
        <v>727.49374045801517</v>
      </c>
      <c r="Q133" s="203">
        <v>727.49</v>
      </c>
      <c r="R133" s="203">
        <f t="shared" ref="R133:R197" si="12">+P133-Q133</f>
        <v>3.7404580151587652E-3</v>
      </c>
    </row>
    <row r="134" spans="2:18" ht="38.1" customHeight="1" x14ac:dyDescent="0.3">
      <c r="B134" s="259" t="s">
        <v>1012</v>
      </c>
      <c r="C134" s="1150" t="s">
        <v>189</v>
      </c>
      <c r="D134" s="1150"/>
      <c r="E134" s="1150"/>
      <c r="F134" s="1151"/>
      <c r="G134" s="260"/>
      <c r="H134" s="260"/>
      <c r="I134" s="260">
        <v>0</v>
      </c>
      <c r="J134" s="260">
        <v>0</v>
      </c>
      <c r="K134" s="260">
        <v>0</v>
      </c>
      <c r="L134" s="260">
        <f t="shared" si="8"/>
        <v>0</v>
      </c>
      <c r="M134" s="328">
        <f t="shared" si="11"/>
        <v>0</v>
      </c>
      <c r="N134" s="264">
        <v>0</v>
      </c>
      <c r="O134" s="265">
        <v>0</v>
      </c>
      <c r="P134" s="263">
        <f t="shared" si="10"/>
        <v>0</v>
      </c>
      <c r="Q134" s="263">
        <v>0</v>
      </c>
      <c r="R134" s="263">
        <f t="shared" si="12"/>
        <v>0</v>
      </c>
    </row>
    <row r="135" spans="2:18" ht="38.1" customHeight="1" x14ac:dyDescent="0.3">
      <c r="B135" s="259" t="s">
        <v>1013</v>
      </c>
      <c r="C135" s="1150" t="s">
        <v>1014</v>
      </c>
      <c r="D135" s="1150"/>
      <c r="E135" s="1150"/>
      <c r="F135" s="1151"/>
      <c r="G135" s="260">
        <v>0</v>
      </c>
      <c r="H135" s="260">
        <v>10207840</v>
      </c>
      <c r="I135" s="260">
        <v>4789820.3</v>
      </c>
      <c r="J135" s="260">
        <v>1209063.1399999999</v>
      </c>
      <c r="K135" s="260">
        <v>818307.67</v>
      </c>
      <c r="L135" s="260">
        <f t="shared" si="8"/>
        <v>9389532.3300000001</v>
      </c>
      <c r="M135" s="262">
        <f t="shared" si="11"/>
        <v>143351.63862595419</v>
      </c>
      <c r="N135" s="264">
        <v>50000</v>
      </c>
      <c r="O135" s="265">
        <v>-132717.85999999999</v>
      </c>
      <c r="P135" s="263">
        <f t="shared" si="10"/>
        <v>60633.778625954204</v>
      </c>
      <c r="Q135" s="263">
        <v>0</v>
      </c>
      <c r="R135" s="263">
        <f t="shared" si="12"/>
        <v>60633.778625954204</v>
      </c>
    </row>
    <row r="136" spans="2:18" ht="38.1" customHeight="1" x14ac:dyDescent="0.3">
      <c r="B136" s="185" t="s">
        <v>1015</v>
      </c>
      <c r="C136" s="1152" t="s">
        <v>941</v>
      </c>
      <c r="D136" s="1152"/>
      <c r="E136" s="1152"/>
      <c r="F136" s="1153"/>
      <c r="G136" s="217">
        <v>0</v>
      </c>
      <c r="H136" s="217">
        <v>26472.76</v>
      </c>
      <c r="I136" s="217">
        <v>0</v>
      </c>
      <c r="J136" s="217">
        <v>0</v>
      </c>
      <c r="K136" s="217">
        <v>0</v>
      </c>
      <c r="L136" s="217">
        <f t="shared" si="8"/>
        <v>26472.76</v>
      </c>
      <c r="M136" s="220">
        <f t="shared" si="11"/>
        <v>404.1642748091603</v>
      </c>
      <c r="N136" s="202">
        <v>0</v>
      </c>
      <c r="O136" s="235">
        <v>0</v>
      </c>
      <c r="P136" s="205">
        <f t="shared" si="10"/>
        <v>404.1642748091603</v>
      </c>
      <c r="Q136" s="205">
        <v>0</v>
      </c>
      <c r="R136" s="205">
        <f t="shared" si="12"/>
        <v>404.1642748091603</v>
      </c>
    </row>
    <row r="137" spans="2:18" ht="38.1" customHeight="1" x14ac:dyDescent="0.3">
      <c r="B137" s="259" t="s">
        <v>1016</v>
      </c>
      <c r="C137" s="1150" t="s">
        <v>976</v>
      </c>
      <c r="D137" s="1150"/>
      <c r="E137" s="1150"/>
      <c r="F137" s="1151"/>
      <c r="G137" s="260">
        <v>0</v>
      </c>
      <c r="H137" s="260">
        <v>0</v>
      </c>
      <c r="I137" s="260">
        <v>0</v>
      </c>
      <c r="J137" s="260">
        <v>0</v>
      </c>
      <c r="K137" s="260">
        <v>0</v>
      </c>
      <c r="L137" s="260">
        <f t="shared" si="8"/>
        <v>0</v>
      </c>
      <c r="M137" s="328">
        <f t="shared" si="11"/>
        <v>0</v>
      </c>
      <c r="N137" s="264">
        <v>0</v>
      </c>
      <c r="O137" s="265">
        <v>0</v>
      </c>
      <c r="P137" s="263">
        <f t="shared" si="10"/>
        <v>0</v>
      </c>
      <c r="Q137" s="263">
        <v>0</v>
      </c>
      <c r="R137" s="263">
        <f t="shared" si="12"/>
        <v>0</v>
      </c>
    </row>
    <row r="138" spans="2:18" ht="38.1" customHeight="1" x14ac:dyDescent="0.3">
      <c r="B138" s="259" t="s">
        <v>1017</v>
      </c>
      <c r="C138" s="1150" t="s">
        <v>976</v>
      </c>
      <c r="D138" s="1150"/>
      <c r="E138" s="1150"/>
      <c r="F138" s="1151"/>
      <c r="G138" s="260">
        <v>0</v>
      </c>
      <c r="H138" s="260">
        <v>0</v>
      </c>
      <c r="I138" s="260">
        <v>0</v>
      </c>
      <c r="J138" s="260">
        <v>0</v>
      </c>
      <c r="K138" s="260">
        <v>0</v>
      </c>
      <c r="L138" s="260">
        <f t="shared" si="8"/>
        <v>0</v>
      </c>
      <c r="M138" s="328">
        <f t="shared" si="11"/>
        <v>0</v>
      </c>
      <c r="N138" s="264">
        <v>0</v>
      </c>
      <c r="O138" s="265">
        <v>0</v>
      </c>
      <c r="P138" s="263">
        <f t="shared" si="10"/>
        <v>0</v>
      </c>
      <c r="Q138" s="263">
        <v>0</v>
      </c>
      <c r="R138" s="263">
        <f t="shared" si="12"/>
        <v>0</v>
      </c>
    </row>
    <row r="139" spans="2:18" ht="38.1" customHeight="1" x14ac:dyDescent="0.3">
      <c r="B139" s="184" t="s">
        <v>1018</v>
      </c>
      <c r="C139" s="1157" t="s">
        <v>75</v>
      </c>
      <c r="D139" s="1157"/>
      <c r="E139" s="1157"/>
      <c r="F139" s="1158"/>
      <c r="G139" s="211">
        <v>0</v>
      </c>
      <c r="H139" s="211">
        <v>29649327.77</v>
      </c>
      <c r="I139" s="211">
        <v>0</v>
      </c>
      <c r="J139" s="211">
        <v>0</v>
      </c>
      <c r="K139" s="211">
        <v>0</v>
      </c>
      <c r="L139" s="211">
        <f t="shared" si="8"/>
        <v>29649327.77</v>
      </c>
      <c r="M139" s="213">
        <f t="shared" si="11"/>
        <v>452661.49267175572</v>
      </c>
      <c r="N139" s="201">
        <v>0</v>
      </c>
      <c r="O139" s="234">
        <v>-200000</v>
      </c>
      <c r="P139" s="203">
        <f t="shared" si="10"/>
        <v>252661.49267175572</v>
      </c>
      <c r="Q139" s="203">
        <v>200000</v>
      </c>
      <c r="R139" s="203">
        <f t="shared" si="12"/>
        <v>52661.492671755725</v>
      </c>
    </row>
    <row r="140" spans="2:18" ht="38.1" customHeight="1" x14ac:dyDescent="0.3">
      <c r="B140" s="185" t="s">
        <v>1019</v>
      </c>
      <c r="C140" s="1152" t="s">
        <v>111</v>
      </c>
      <c r="D140" s="1152"/>
      <c r="E140" s="1152"/>
      <c r="F140" s="1153"/>
      <c r="G140" s="217">
        <v>0</v>
      </c>
      <c r="H140" s="217">
        <v>1588357.13</v>
      </c>
      <c r="I140" s="217">
        <v>0</v>
      </c>
      <c r="J140" s="217">
        <v>0</v>
      </c>
      <c r="K140" s="217">
        <v>0</v>
      </c>
      <c r="L140" s="217">
        <f t="shared" si="8"/>
        <v>1588357.13</v>
      </c>
      <c r="M140" s="220">
        <f t="shared" si="11"/>
        <v>24249.727175572516</v>
      </c>
      <c r="N140" s="202">
        <v>0</v>
      </c>
      <c r="O140" s="235">
        <v>0</v>
      </c>
      <c r="P140" s="205">
        <f t="shared" si="10"/>
        <v>24249.727175572516</v>
      </c>
      <c r="Q140" s="205">
        <v>5000</v>
      </c>
      <c r="R140" s="205">
        <f t="shared" si="12"/>
        <v>19249.727175572516</v>
      </c>
    </row>
    <row r="141" spans="2:18" ht="38.1" customHeight="1" x14ac:dyDescent="0.3">
      <c r="B141" s="184" t="s">
        <v>1020</v>
      </c>
      <c r="C141" s="1157" t="s">
        <v>185</v>
      </c>
      <c r="D141" s="1157"/>
      <c r="E141" s="1157"/>
      <c r="F141" s="1158"/>
      <c r="G141" s="211">
        <v>0</v>
      </c>
      <c r="H141" s="211">
        <v>105890.39</v>
      </c>
      <c r="I141" s="211">
        <v>0</v>
      </c>
      <c r="J141" s="211">
        <v>0</v>
      </c>
      <c r="K141" s="211">
        <v>0</v>
      </c>
      <c r="L141" s="211">
        <f t="shared" si="8"/>
        <v>105890.39</v>
      </c>
      <c r="M141" s="213">
        <f t="shared" si="11"/>
        <v>1616.647175572519</v>
      </c>
      <c r="N141" s="201">
        <v>0</v>
      </c>
      <c r="O141" s="234">
        <v>0</v>
      </c>
      <c r="P141" s="203">
        <f t="shared" si="10"/>
        <v>1616.647175572519</v>
      </c>
      <c r="Q141" s="203">
        <v>1000</v>
      </c>
      <c r="R141" s="203">
        <f t="shared" si="12"/>
        <v>616.64717557251902</v>
      </c>
    </row>
    <row r="142" spans="2:18" ht="38.1" customHeight="1" x14ac:dyDescent="0.3">
      <c r="B142" s="185" t="s">
        <v>1021</v>
      </c>
      <c r="C142" s="1152" t="s">
        <v>892</v>
      </c>
      <c r="D142" s="1152"/>
      <c r="E142" s="1152"/>
      <c r="F142" s="1153"/>
      <c r="G142" s="217">
        <v>0</v>
      </c>
      <c r="H142" s="217">
        <v>476507.08</v>
      </c>
      <c r="I142" s="217">
        <v>0</v>
      </c>
      <c r="J142" s="217">
        <v>0</v>
      </c>
      <c r="K142" s="217">
        <v>0</v>
      </c>
      <c r="L142" s="217">
        <f t="shared" ref="L142:L205" si="13">+H142-K142</f>
        <v>476507.08</v>
      </c>
      <c r="M142" s="220">
        <f t="shared" si="11"/>
        <v>7274.9172519083968</v>
      </c>
      <c r="N142" s="202">
        <v>0</v>
      </c>
      <c r="O142" s="235">
        <v>0</v>
      </c>
      <c r="P142" s="205">
        <f t="shared" si="10"/>
        <v>7274.9172519083968</v>
      </c>
      <c r="Q142" s="205">
        <v>3500</v>
      </c>
      <c r="R142" s="205">
        <f t="shared" si="12"/>
        <v>3774.9172519083968</v>
      </c>
    </row>
    <row r="143" spans="2:18" ht="38.1" customHeight="1" x14ac:dyDescent="0.3">
      <c r="B143" s="1171" t="s">
        <v>1022</v>
      </c>
      <c r="C143" s="1172"/>
      <c r="D143" s="1172"/>
      <c r="E143" s="1172"/>
      <c r="F143" s="1173"/>
      <c r="G143" s="221">
        <v>0</v>
      </c>
      <c r="H143" s="221">
        <v>42181463.590000004</v>
      </c>
      <c r="I143" s="221">
        <v>0</v>
      </c>
      <c r="J143" s="221">
        <v>0</v>
      </c>
      <c r="K143" s="221">
        <v>0</v>
      </c>
      <c r="L143" s="221">
        <f t="shared" si="13"/>
        <v>42181463.590000004</v>
      </c>
      <c r="M143" s="222">
        <f t="shared" si="11"/>
        <v>643991.81053435116</v>
      </c>
      <c r="N143" s="223">
        <f>+SUM(N144:N153)</f>
        <v>68182.14</v>
      </c>
      <c r="O143" s="237">
        <f>+SUM(O144:O153)</f>
        <v>-374027.03</v>
      </c>
      <c r="P143" s="224">
        <f>+SUM(P144:P153)</f>
        <v>338146.92068702291</v>
      </c>
      <c r="Q143" s="224">
        <f>+SUM(Q144:Q153)</f>
        <v>261127.49</v>
      </c>
      <c r="R143" s="224">
        <f t="shared" si="12"/>
        <v>77019.430687022919</v>
      </c>
    </row>
    <row r="144" spans="2:18" ht="38.1" customHeight="1" x14ac:dyDescent="0.3">
      <c r="B144" s="185" t="s">
        <v>1023</v>
      </c>
      <c r="C144" s="1152" t="s">
        <v>104</v>
      </c>
      <c r="D144" s="1152"/>
      <c r="E144" s="1152"/>
      <c r="F144" s="1153"/>
      <c r="G144" s="217">
        <v>0</v>
      </c>
      <c r="H144" s="217">
        <v>79417.63</v>
      </c>
      <c r="I144" s="217">
        <v>0</v>
      </c>
      <c r="J144" s="217">
        <v>0</v>
      </c>
      <c r="K144" s="217">
        <v>0</v>
      </c>
      <c r="L144" s="217">
        <f t="shared" si="13"/>
        <v>79417.63</v>
      </c>
      <c r="M144" s="220">
        <f t="shared" si="11"/>
        <v>1212.4829007633589</v>
      </c>
      <c r="N144" s="202">
        <v>0</v>
      </c>
      <c r="O144" s="235">
        <v>0</v>
      </c>
      <c r="P144" s="205">
        <f t="shared" si="10"/>
        <v>1212.4829007633589</v>
      </c>
      <c r="Q144" s="205">
        <v>0</v>
      </c>
      <c r="R144" s="205">
        <f t="shared" si="12"/>
        <v>1212.4829007633589</v>
      </c>
    </row>
    <row r="145" spans="2:18" ht="38.1" customHeight="1" x14ac:dyDescent="0.3">
      <c r="B145" s="184" t="s">
        <v>1024</v>
      </c>
      <c r="C145" s="1157" t="s">
        <v>193</v>
      </c>
      <c r="D145" s="1157"/>
      <c r="E145" s="1157"/>
      <c r="F145" s="1158"/>
      <c r="G145" s="211">
        <v>0</v>
      </c>
      <c r="H145" s="211">
        <v>47650.84</v>
      </c>
      <c r="I145" s="211">
        <v>0</v>
      </c>
      <c r="J145" s="211">
        <v>0</v>
      </c>
      <c r="K145" s="211">
        <v>0</v>
      </c>
      <c r="L145" s="211">
        <f t="shared" si="13"/>
        <v>47650.84</v>
      </c>
      <c r="M145" s="213">
        <f t="shared" si="11"/>
        <v>727.49374045801517</v>
      </c>
      <c r="N145" s="201">
        <v>0</v>
      </c>
      <c r="O145" s="234">
        <v>0</v>
      </c>
      <c r="P145" s="203">
        <f t="shared" si="10"/>
        <v>727.49374045801517</v>
      </c>
      <c r="Q145" s="203">
        <v>727.49</v>
      </c>
      <c r="R145" s="203">
        <f t="shared" si="12"/>
        <v>3.7404580151587652E-3</v>
      </c>
    </row>
    <row r="146" spans="2:18" ht="38.1" customHeight="1" x14ac:dyDescent="0.3">
      <c r="B146" s="185" t="s">
        <v>1025</v>
      </c>
      <c r="C146" s="1152" t="s">
        <v>189</v>
      </c>
      <c r="D146" s="1152"/>
      <c r="E146" s="1152"/>
      <c r="F146" s="1153"/>
      <c r="G146" s="217">
        <v>0</v>
      </c>
      <c r="H146" s="217">
        <v>6379900</v>
      </c>
      <c r="I146" s="217">
        <v>0</v>
      </c>
      <c r="J146" s="217">
        <v>0</v>
      </c>
      <c r="K146" s="217">
        <v>0</v>
      </c>
      <c r="L146" s="217">
        <f t="shared" si="13"/>
        <v>6379900</v>
      </c>
      <c r="M146" s="220">
        <f t="shared" si="11"/>
        <v>97403.053435114503</v>
      </c>
      <c r="N146" s="202">
        <v>0</v>
      </c>
      <c r="O146" s="235">
        <v>-50000</v>
      </c>
      <c r="P146" s="205">
        <f t="shared" si="10"/>
        <v>47403.053435114503</v>
      </c>
      <c r="Q146" s="205">
        <v>10000</v>
      </c>
      <c r="R146" s="205">
        <f t="shared" si="12"/>
        <v>37403.053435114503</v>
      </c>
    </row>
    <row r="147" spans="2:18" ht="38.1" customHeight="1" x14ac:dyDescent="0.3">
      <c r="B147" s="184" t="s">
        <v>1026</v>
      </c>
      <c r="C147" s="1157" t="s">
        <v>941</v>
      </c>
      <c r="D147" s="1157"/>
      <c r="E147" s="1157"/>
      <c r="F147" s="1158"/>
      <c r="G147" s="211">
        <v>0</v>
      </c>
      <c r="H147" s="211">
        <v>26472.76</v>
      </c>
      <c r="I147" s="211">
        <v>0</v>
      </c>
      <c r="J147" s="211">
        <v>0</v>
      </c>
      <c r="K147" s="211">
        <v>0</v>
      </c>
      <c r="L147" s="211">
        <f t="shared" si="13"/>
        <v>26472.76</v>
      </c>
      <c r="M147" s="213">
        <f t="shared" si="11"/>
        <v>404.1642748091603</v>
      </c>
      <c r="N147" s="201">
        <v>0</v>
      </c>
      <c r="O147" s="234">
        <v>0</v>
      </c>
      <c r="P147" s="203">
        <f t="shared" si="10"/>
        <v>404.1642748091603</v>
      </c>
      <c r="Q147" s="203">
        <v>0</v>
      </c>
      <c r="R147" s="203">
        <f t="shared" si="12"/>
        <v>404.1642748091603</v>
      </c>
    </row>
    <row r="148" spans="2:18" ht="38.1" customHeight="1" x14ac:dyDescent="0.3">
      <c r="B148" s="259" t="s">
        <v>1027</v>
      </c>
      <c r="C148" s="1150" t="s">
        <v>976</v>
      </c>
      <c r="D148" s="1150"/>
      <c r="E148" s="1150"/>
      <c r="F148" s="1151"/>
      <c r="G148" s="260">
        <v>0</v>
      </c>
      <c r="H148" s="260">
        <v>5741910</v>
      </c>
      <c r="I148" s="260">
        <v>0</v>
      </c>
      <c r="J148" s="260">
        <v>0</v>
      </c>
      <c r="K148" s="260">
        <v>0</v>
      </c>
      <c r="L148" s="260">
        <f t="shared" si="13"/>
        <v>5741910</v>
      </c>
      <c r="M148" s="262">
        <f t="shared" si="11"/>
        <v>87662.748091603047</v>
      </c>
      <c r="N148" s="354">
        <v>68182.14</v>
      </c>
      <c r="O148" s="265">
        <v>-155844.89000000001</v>
      </c>
      <c r="P148" s="263">
        <f t="shared" si="10"/>
        <v>-1.9083969673374668E-3</v>
      </c>
      <c r="Q148" s="263">
        <v>0</v>
      </c>
      <c r="R148" s="263">
        <f t="shared" si="12"/>
        <v>-1.9083969673374668E-3</v>
      </c>
    </row>
    <row r="149" spans="2:18" ht="38.1" customHeight="1" x14ac:dyDescent="0.3">
      <c r="B149" s="259" t="s">
        <v>1028</v>
      </c>
      <c r="C149" s="1150" t="s">
        <v>976</v>
      </c>
      <c r="D149" s="1150"/>
      <c r="E149" s="1150"/>
      <c r="F149" s="1151"/>
      <c r="G149" s="260">
        <v>0</v>
      </c>
      <c r="H149" s="260">
        <v>4465930</v>
      </c>
      <c r="I149" s="260">
        <v>0</v>
      </c>
      <c r="J149" s="260">
        <v>0</v>
      </c>
      <c r="K149" s="260">
        <v>0</v>
      </c>
      <c r="L149" s="260">
        <f t="shared" si="13"/>
        <v>4465930</v>
      </c>
      <c r="M149" s="262">
        <f t="shared" si="11"/>
        <v>68182.137404580149</v>
      </c>
      <c r="N149" s="264">
        <v>0</v>
      </c>
      <c r="O149" s="265">
        <v>-68182.14</v>
      </c>
      <c r="P149" s="263">
        <f t="shared" si="10"/>
        <v>-2.595419849967584E-3</v>
      </c>
      <c r="Q149" s="263">
        <v>0</v>
      </c>
      <c r="R149" s="263">
        <f t="shared" si="12"/>
        <v>-2.595419849967584E-3</v>
      </c>
    </row>
    <row r="150" spans="2:18" ht="38.1" customHeight="1" x14ac:dyDescent="0.3">
      <c r="B150" s="185" t="s">
        <v>175</v>
      </c>
      <c r="C150" s="1152" t="s">
        <v>75</v>
      </c>
      <c r="D150" s="1152"/>
      <c r="E150" s="1152"/>
      <c r="F150" s="1153"/>
      <c r="G150" s="217">
        <v>0</v>
      </c>
      <c r="H150" s="217">
        <v>23269427.77</v>
      </c>
      <c r="I150" s="217">
        <v>0</v>
      </c>
      <c r="J150" s="217">
        <v>0</v>
      </c>
      <c r="K150" s="217">
        <v>0</v>
      </c>
      <c r="L150" s="217">
        <f t="shared" si="13"/>
        <v>23269427.77</v>
      </c>
      <c r="M150" s="220">
        <f t="shared" si="11"/>
        <v>355258.43923664122</v>
      </c>
      <c r="N150" s="202">
        <v>0</v>
      </c>
      <c r="O150" s="235">
        <v>-100000</v>
      </c>
      <c r="P150" s="205">
        <f t="shared" si="10"/>
        <v>255258.43923664122</v>
      </c>
      <c r="Q150" s="205">
        <f>22000+200000</f>
        <v>222000</v>
      </c>
      <c r="R150" s="205">
        <f t="shared" si="12"/>
        <v>33258.439236641221</v>
      </c>
    </row>
    <row r="151" spans="2:18" ht="38.1" customHeight="1" x14ac:dyDescent="0.3">
      <c r="B151" s="184" t="s">
        <v>1029</v>
      </c>
      <c r="C151" s="1157" t="s">
        <v>111</v>
      </c>
      <c r="D151" s="1157"/>
      <c r="E151" s="1157"/>
      <c r="F151" s="1158"/>
      <c r="G151" s="211">
        <v>0</v>
      </c>
      <c r="H151" s="211">
        <v>1588357.13</v>
      </c>
      <c r="I151" s="211">
        <v>0</v>
      </c>
      <c r="J151" s="211">
        <v>0</v>
      </c>
      <c r="K151" s="211">
        <v>0</v>
      </c>
      <c r="L151" s="211">
        <f t="shared" si="13"/>
        <v>1588357.13</v>
      </c>
      <c r="M151" s="213">
        <f t="shared" si="11"/>
        <v>24249.727175572516</v>
      </c>
      <c r="N151" s="201">
        <v>0</v>
      </c>
      <c r="O151" s="234">
        <v>0</v>
      </c>
      <c r="P151" s="203">
        <f t="shared" si="10"/>
        <v>24249.727175572516</v>
      </c>
      <c r="Q151" s="203">
        <v>24000</v>
      </c>
      <c r="R151" s="203">
        <f t="shared" si="12"/>
        <v>249.72717557251599</v>
      </c>
    </row>
    <row r="152" spans="2:18" ht="38.1" customHeight="1" x14ac:dyDescent="0.3">
      <c r="B152" s="185" t="s">
        <v>1030</v>
      </c>
      <c r="C152" s="1152" t="s">
        <v>185</v>
      </c>
      <c r="D152" s="1152"/>
      <c r="E152" s="1152"/>
      <c r="F152" s="1153"/>
      <c r="G152" s="217">
        <v>0</v>
      </c>
      <c r="H152" s="217">
        <v>105890.39</v>
      </c>
      <c r="I152" s="217">
        <v>0</v>
      </c>
      <c r="J152" s="217">
        <v>0</v>
      </c>
      <c r="K152" s="217">
        <v>0</v>
      </c>
      <c r="L152" s="217">
        <f t="shared" si="13"/>
        <v>105890.39</v>
      </c>
      <c r="M152" s="220">
        <f t="shared" si="11"/>
        <v>1616.647175572519</v>
      </c>
      <c r="N152" s="202">
        <v>0</v>
      </c>
      <c r="O152" s="235">
        <v>0</v>
      </c>
      <c r="P152" s="205">
        <f t="shared" si="10"/>
        <v>1616.647175572519</v>
      </c>
      <c r="Q152" s="205">
        <v>900</v>
      </c>
      <c r="R152" s="205">
        <f t="shared" si="12"/>
        <v>716.64717557251902</v>
      </c>
    </row>
    <row r="153" spans="2:18" ht="38.1" customHeight="1" x14ac:dyDescent="0.3">
      <c r="B153" s="184" t="s">
        <v>1031</v>
      </c>
      <c r="C153" s="1157" t="s">
        <v>892</v>
      </c>
      <c r="D153" s="1157"/>
      <c r="E153" s="1157"/>
      <c r="F153" s="1158"/>
      <c r="G153" s="211">
        <v>0</v>
      </c>
      <c r="H153" s="211">
        <v>476507.08</v>
      </c>
      <c r="I153" s="211">
        <v>0</v>
      </c>
      <c r="J153" s="211">
        <v>0</v>
      </c>
      <c r="K153" s="211">
        <v>0</v>
      </c>
      <c r="L153" s="211">
        <f t="shared" si="13"/>
        <v>476507.08</v>
      </c>
      <c r="M153" s="213">
        <f t="shared" si="11"/>
        <v>7274.9172519083968</v>
      </c>
      <c r="N153" s="201">
        <v>0</v>
      </c>
      <c r="O153" s="234">
        <v>0</v>
      </c>
      <c r="P153" s="203">
        <f t="shared" si="10"/>
        <v>7274.9172519083968</v>
      </c>
      <c r="Q153" s="203">
        <v>3500</v>
      </c>
      <c r="R153" s="203">
        <f t="shared" si="12"/>
        <v>3774.9172519083968</v>
      </c>
    </row>
    <row r="154" spans="2:18" ht="38.1" customHeight="1" x14ac:dyDescent="0.3">
      <c r="B154" s="1171" t="s">
        <v>1032</v>
      </c>
      <c r="C154" s="1172"/>
      <c r="D154" s="1172"/>
      <c r="E154" s="1172"/>
      <c r="F154" s="1173"/>
      <c r="G154" s="221">
        <v>0</v>
      </c>
      <c r="H154" s="221">
        <v>63799000</v>
      </c>
      <c r="I154" s="221">
        <v>0</v>
      </c>
      <c r="J154" s="221">
        <v>0</v>
      </c>
      <c r="K154" s="221">
        <v>0</v>
      </c>
      <c r="L154" s="221">
        <f t="shared" si="13"/>
        <v>63799000</v>
      </c>
      <c r="M154" s="222">
        <f t="shared" si="11"/>
        <v>974030.53435114503</v>
      </c>
      <c r="N154" s="223">
        <f>+SUM(N155:N166)</f>
        <v>193998.78</v>
      </c>
      <c r="O154" s="237">
        <f>+SUM(O155:O166)</f>
        <v>-223997.78</v>
      </c>
      <c r="P154" s="224">
        <f>+SUM(P155:P166)</f>
        <v>944031.53450381686</v>
      </c>
      <c r="Q154" s="224">
        <f>+SUM(Q155:Q166)</f>
        <v>375127.49</v>
      </c>
      <c r="R154" s="224">
        <f t="shared" si="12"/>
        <v>568904.04450381687</v>
      </c>
    </row>
    <row r="155" spans="2:18" ht="38.1" customHeight="1" x14ac:dyDescent="0.3">
      <c r="B155" s="184" t="s">
        <v>1033</v>
      </c>
      <c r="C155" s="1157" t="s">
        <v>104</v>
      </c>
      <c r="D155" s="1157"/>
      <c r="E155" s="1157"/>
      <c r="F155" s="1158"/>
      <c r="G155" s="211">
        <v>0</v>
      </c>
      <c r="H155" s="211">
        <v>47650.84</v>
      </c>
      <c r="I155" s="211">
        <v>0</v>
      </c>
      <c r="J155" s="211">
        <v>0</v>
      </c>
      <c r="K155" s="211">
        <v>0</v>
      </c>
      <c r="L155" s="211">
        <f t="shared" si="13"/>
        <v>47650.84</v>
      </c>
      <c r="M155" s="213">
        <f t="shared" si="11"/>
        <v>727.49374045801517</v>
      </c>
      <c r="N155" s="201">
        <v>0</v>
      </c>
      <c r="O155" s="234">
        <v>0</v>
      </c>
      <c r="P155" s="203">
        <f t="shared" si="10"/>
        <v>727.49374045801517</v>
      </c>
      <c r="Q155" s="203">
        <v>0</v>
      </c>
      <c r="R155" s="203">
        <f t="shared" si="12"/>
        <v>727.49374045801517</v>
      </c>
    </row>
    <row r="156" spans="2:18" ht="38.1" customHeight="1" x14ac:dyDescent="0.3">
      <c r="B156" s="185" t="s">
        <v>1034</v>
      </c>
      <c r="C156" s="1152" t="s">
        <v>892</v>
      </c>
      <c r="D156" s="1152"/>
      <c r="E156" s="1152"/>
      <c r="F156" s="1153"/>
      <c r="G156" s="217">
        <v>0</v>
      </c>
      <c r="H156" s="217">
        <v>476507.08</v>
      </c>
      <c r="I156" s="217">
        <v>0</v>
      </c>
      <c r="J156" s="217">
        <v>0</v>
      </c>
      <c r="K156" s="217">
        <v>0</v>
      </c>
      <c r="L156" s="217">
        <f t="shared" si="13"/>
        <v>476507.08</v>
      </c>
      <c r="M156" s="220">
        <f t="shared" si="11"/>
        <v>7274.9172519083968</v>
      </c>
      <c r="N156" s="202">
        <v>0</v>
      </c>
      <c r="O156" s="235">
        <v>0</v>
      </c>
      <c r="P156" s="205">
        <f t="shared" ref="P156:P166" si="14">+M156+O156+N156</f>
        <v>7274.9172519083968</v>
      </c>
      <c r="Q156" s="205">
        <v>3500</v>
      </c>
      <c r="R156" s="205">
        <f t="shared" si="12"/>
        <v>3774.9172519083968</v>
      </c>
    </row>
    <row r="157" spans="2:18" ht="38.1" customHeight="1" x14ac:dyDescent="0.3">
      <c r="B157" s="184" t="s">
        <v>1035</v>
      </c>
      <c r="C157" s="1157" t="s">
        <v>193</v>
      </c>
      <c r="D157" s="1157"/>
      <c r="E157" s="1157"/>
      <c r="F157" s="1158"/>
      <c r="G157" s="211">
        <v>0</v>
      </c>
      <c r="H157" s="211">
        <v>47650.84</v>
      </c>
      <c r="I157" s="211">
        <v>0</v>
      </c>
      <c r="J157" s="211">
        <v>0</v>
      </c>
      <c r="K157" s="211">
        <v>0</v>
      </c>
      <c r="L157" s="211">
        <f t="shared" si="13"/>
        <v>47650.84</v>
      </c>
      <c r="M157" s="213">
        <f t="shared" si="11"/>
        <v>727.49374045801517</v>
      </c>
      <c r="N157" s="201">
        <v>0</v>
      </c>
      <c r="O157" s="234">
        <v>0</v>
      </c>
      <c r="P157" s="203">
        <f t="shared" si="14"/>
        <v>727.49374045801517</v>
      </c>
      <c r="Q157" s="203">
        <v>727.49</v>
      </c>
      <c r="R157" s="203">
        <f t="shared" si="12"/>
        <v>3.7404580151587652E-3</v>
      </c>
    </row>
    <row r="158" spans="2:18" ht="38.1" customHeight="1" x14ac:dyDescent="0.3">
      <c r="B158" s="185" t="s">
        <v>1036</v>
      </c>
      <c r="C158" s="1152" t="s">
        <v>189</v>
      </c>
      <c r="D158" s="1152"/>
      <c r="E158" s="1152"/>
      <c r="F158" s="1153"/>
      <c r="G158" s="217">
        <v>0</v>
      </c>
      <c r="H158" s="217">
        <v>9569850</v>
      </c>
      <c r="I158" s="217">
        <v>0</v>
      </c>
      <c r="J158" s="217">
        <v>0</v>
      </c>
      <c r="K158" s="217">
        <v>0</v>
      </c>
      <c r="L158" s="217">
        <f t="shared" si="13"/>
        <v>9569850</v>
      </c>
      <c r="M158" s="220">
        <f t="shared" si="11"/>
        <v>146104.58015267176</v>
      </c>
      <c r="N158" s="202">
        <v>0</v>
      </c>
      <c r="O158" s="235">
        <v>-30000</v>
      </c>
      <c r="P158" s="205">
        <f t="shared" si="14"/>
        <v>116104.58015267176</v>
      </c>
      <c r="Q158" s="205">
        <v>30000</v>
      </c>
      <c r="R158" s="205">
        <f t="shared" si="12"/>
        <v>86104.580152671755</v>
      </c>
    </row>
    <row r="159" spans="2:18" ht="38.1" customHeight="1" x14ac:dyDescent="0.3">
      <c r="B159" s="184" t="s">
        <v>1037</v>
      </c>
      <c r="C159" s="1157" t="s">
        <v>1038</v>
      </c>
      <c r="D159" s="1157"/>
      <c r="E159" s="1157"/>
      <c r="F159" s="1158"/>
      <c r="G159" s="211">
        <v>0</v>
      </c>
      <c r="H159" s="211">
        <v>15883.4</v>
      </c>
      <c r="I159" s="211">
        <v>0</v>
      </c>
      <c r="J159" s="211">
        <v>0</v>
      </c>
      <c r="K159" s="211">
        <v>0</v>
      </c>
      <c r="L159" s="211">
        <f t="shared" si="13"/>
        <v>15883.4</v>
      </c>
      <c r="M159" s="213">
        <f t="shared" si="11"/>
        <v>242.49465648854962</v>
      </c>
      <c r="N159" s="201">
        <v>0</v>
      </c>
      <c r="O159" s="234">
        <v>0</v>
      </c>
      <c r="P159" s="203">
        <f t="shared" si="14"/>
        <v>242.49465648854962</v>
      </c>
      <c r="Q159" s="203">
        <v>0</v>
      </c>
      <c r="R159" s="203">
        <f t="shared" si="12"/>
        <v>242.49465648854962</v>
      </c>
    </row>
    <row r="160" spans="2:18" ht="38.1" customHeight="1" x14ac:dyDescent="0.3">
      <c r="B160" s="185" t="s">
        <v>1039</v>
      </c>
      <c r="C160" s="1152" t="s">
        <v>196</v>
      </c>
      <c r="D160" s="1152"/>
      <c r="E160" s="1152"/>
      <c r="F160" s="1153"/>
      <c r="G160" s="217">
        <v>0</v>
      </c>
      <c r="H160" s="217">
        <v>31939209.140000001</v>
      </c>
      <c r="I160" s="217">
        <v>0</v>
      </c>
      <c r="J160" s="217">
        <v>0</v>
      </c>
      <c r="K160" s="217">
        <v>0</v>
      </c>
      <c r="L160" s="217">
        <f t="shared" si="13"/>
        <v>31939209.140000001</v>
      </c>
      <c r="M160" s="220">
        <f t="shared" si="11"/>
        <v>487621.51358778629</v>
      </c>
      <c r="N160" s="255">
        <v>161664.82</v>
      </c>
      <c r="O160" s="235">
        <v>0</v>
      </c>
      <c r="P160" s="205">
        <f t="shared" si="14"/>
        <v>649286.3335877863</v>
      </c>
      <c r="Q160" s="205">
        <f>200000+40000</f>
        <v>240000</v>
      </c>
      <c r="R160" s="205">
        <f t="shared" si="12"/>
        <v>409286.3335877863</v>
      </c>
    </row>
    <row r="161" spans="2:18" ht="38.1" customHeight="1" x14ac:dyDescent="0.3">
      <c r="B161" s="259" t="s">
        <v>1040</v>
      </c>
      <c r="C161" s="1150" t="s">
        <v>196</v>
      </c>
      <c r="D161" s="1150"/>
      <c r="E161" s="1150"/>
      <c r="F161" s="1151"/>
      <c r="G161" s="260">
        <v>0</v>
      </c>
      <c r="H161" s="260">
        <v>10589045.4</v>
      </c>
      <c r="I161" s="260">
        <v>0</v>
      </c>
      <c r="J161" s="260">
        <v>0</v>
      </c>
      <c r="K161" s="260">
        <v>0</v>
      </c>
      <c r="L161" s="260">
        <f t="shared" si="13"/>
        <v>10589045.4</v>
      </c>
      <c r="M161" s="262">
        <f t="shared" si="11"/>
        <v>161664.81526717558</v>
      </c>
      <c r="N161" s="264">
        <v>0</v>
      </c>
      <c r="O161" s="265">
        <v>-161664.82</v>
      </c>
      <c r="P161" s="263">
        <f t="shared" si="14"/>
        <v>-4.7328244254458696E-3</v>
      </c>
      <c r="Q161" s="263">
        <v>0</v>
      </c>
      <c r="R161" s="263">
        <f t="shared" si="12"/>
        <v>-4.7328244254458696E-3</v>
      </c>
    </row>
    <row r="162" spans="2:18" ht="38.1" customHeight="1" x14ac:dyDescent="0.3">
      <c r="B162" s="185" t="s">
        <v>1041</v>
      </c>
      <c r="C162" s="1152" t="s">
        <v>1042</v>
      </c>
      <c r="D162" s="1152"/>
      <c r="E162" s="1152"/>
      <c r="F162" s="1153"/>
      <c r="G162" s="217">
        <v>0</v>
      </c>
      <c r="H162" s="217">
        <v>529452.59</v>
      </c>
      <c r="I162" s="217">
        <v>0</v>
      </c>
      <c r="J162" s="217">
        <v>0</v>
      </c>
      <c r="K162" s="217">
        <v>0</v>
      </c>
      <c r="L162" s="217">
        <f t="shared" si="13"/>
        <v>529452.59</v>
      </c>
      <c r="M162" s="220">
        <f t="shared" si="11"/>
        <v>8083.2456488549615</v>
      </c>
      <c r="N162" s="202">
        <v>0</v>
      </c>
      <c r="O162" s="235">
        <v>0</v>
      </c>
      <c r="P162" s="205">
        <f t="shared" si="14"/>
        <v>8083.2456488549615</v>
      </c>
      <c r="Q162" s="205">
        <v>4000</v>
      </c>
      <c r="R162" s="205">
        <f t="shared" si="12"/>
        <v>4083.2456488549615</v>
      </c>
    </row>
    <row r="163" spans="2:18" ht="38.1" customHeight="1" x14ac:dyDescent="0.3">
      <c r="B163" s="184" t="s">
        <v>1043</v>
      </c>
      <c r="C163" s="1157" t="s">
        <v>884</v>
      </c>
      <c r="D163" s="1157"/>
      <c r="E163" s="1157"/>
      <c r="F163" s="1158"/>
      <c r="G163" s="211">
        <v>0</v>
      </c>
      <c r="H163" s="211">
        <v>6353427.2400000002</v>
      </c>
      <c r="I163" s="211">
        <v>0</v>
      </c>
      <c r="J163" s="211">
        <v>0</v>
      </c>
      <c r="K163" s="211">
        <v>0</v>
      </c>
      <c r="L163" s="211">
        <f t="shared" si="13"/>
        <v>6353427.2400000002</v>
      </c>
      <c r="M163" s="213">
        <f t="shared" si="11"/>
        <v>96998.889160305349</v>
      </c>
      <c r="N163" s="201">
        <v>32333.96</v>
      </c>
      <c r="O163" s="234">
        <v>0</v>
      </c>
      <c r="P163" s="203">
        <f t="shared" si="14"/>
        <v>129332.84916030534</v>
      </c>
      <c r="Q163" s="203">
        <f>16000+65000</f>
        <v>81000</v>
      </c>
      <c r="R163" s="203">
        <f t="shared" si="12"/>
        <v>48332.849160305341</v>
      </c>
    </row>
    <row r="164" spans="2:18" ht="38.1" customHeight="1" x14ac:dyDescent="0.3">
      <c r="B164" s="259" t="s">
        <v>1044</v>
      </c>
      <c r="C164" s="1150" t="s">
        <v>884</v>
      </c>
      <c r="D164" s="1150"/>
      <c r="E164" s="1150"/>
      <c r="F164" s="1151"/>
      <c r="G164" s="260">
        <v>0</v>
      </c>
      <c r="H164" s="260">
        <v>2117809.08</v>
      </c>
      <c r="I164" s="260">
        <v>0</v>
      </c>
      <c r="J164" s="260">
        <v>0</v>
      </c>
      <c r="K164" s="260">
        <v>0</v>
      </c>
      <c r="L164" s="260">
        <f t="shared" si="13"/>
        <v>2117809.08</v>
      </c>
      <c r="M164" s="262">
        <f t="shared" si="11"/>
        <v>32332.963053435116</v>
      </c>
      <c r="N164" s="264">
        <v>0</v>
      </c>
      <c r="O164" s="265">
        <v>-32332.959999999999</v>
      </c>
      <c r="P164" s="263">
        <f t="shared" si="14"/>
        <v>3.0534351171809249E-3</v>
      </c>
      <c r="Q164" s="263">
        <v>0</v>
      </c>
      <c r="R164" s="263">
        <f t="shared" si="12"/>
        <v>3.0534351171809249E-3</v>
      </c>
    </row>
    <row r="165" spans="2:18" ht="38.1" customHeight="1" x14ac:dyDescent="0.3">
      <c r="B165" s="184" t="s">
        <v>1045</v>
      </c>
      <c r="C165" s="1157" t="s">
        <v>111</v>
      </c>
      <c r="D165" s="1157"/>
      <c r="E165" s="1157"/>
      <c r="F165" s="1158"/>
      <c r="G165" s="211">
        <v>0</v>
      </c>
      <c r="H165" s="211">
        <v>1985445.93</v>
      </c>
      <c r="I165" s="211">
        <v>0</v>
      </c>
      <c r="J165" s="211">
        <v>0</v>
      </c>
      <c r="K165" s="211">
        <v>0</v>
      </c>
      <c r="L165" s="211">
        <f t="shared" si="13"/>
        <v>1985445.93</v>
      </c>
      <c r="M165" s="213">
        <f t="shared" si="11"/>
        <v>30312.151603053433</v>
      </c>
      <c r="N165" s="201">
        <v>0</v>
      </c>
      <c r="O165" s="234">
        <v>0</v>
      </c>
      <c r="P165" s="203">
        <f t="shared" si="14"/>
        <v>30312.151603053433</v>
      </c>
      <c r="Q165" s="203">
        <v>15000</v>
      </c>
      <c r="R165" s="203">
        <f t="shared" si="12"/>
        <v>15312.151603053433</v>
      </c>
    </row>
    <row r="166" spans="2:18" ht="38.1" customHeight="1" x14ac:dyDescent="0.3">
      <c r="B166" s="185" t="s">
        <v>1046</v>
      </c>
      <c r="C166" s="1152" t="s">
        <v>185</v>
      </c>
      <c r="D166" s="1152"/>
      <c r="E166" s="1152"/>
      <c r="F166" s="1153"/>
      <c r="G166" s="217">
        <v>0</v>
      </c>
      <c r="H166" s="217">
        <v>127068.47</v>
      </c>
      <c r="I166" s="217">
        <v>0</v>
      </c>
      <c r="J166" s="217">
        <v>0</v>
      </c>
      <c r="K166" s="217">
        <v>0</v>
      </c>
      <c r="L166" s="217">
        <f t="shared" si="13"/>
        <v>127068.47</v>
      </c>
      <c r="M166" s="220">
        <f t="shared" si="11"/>
        <v>1939.9766412213742</v>
      </c>
      <c r="N166" s="202">
        <v>0</v>
      </c>
      <c r="O166" s="235">
        <v>0</v>
      </c>
      <c r="P166" s="205">
        <f t="shared" si="14"/>
        <v>1939.9766412213742</v>
      </c>
      <c r="Q166" s="205">
        <v>900</v>
      </c>
      <c r="R166" s="205">
        <f t="shared" si="12"/>
        <v>1039.9766412213742</v>
      </c>
    </row>
    <row r="167" spans="2:18" ht="38.1" customHeight="1" x14ac:dyDescent="0.3">
      <c r="B167" s="1171" t="s">
        <v>1047</v>
      </c>
      <c r="C167" s="1172"/>
      <c r="D167" s="1172"/>
      <c r="E167" s="1172"/>
      <c r="F167" s="1173"/>
      <c r="G167" s="221">
        <v>0</v>
      </c>
      <c r="H167" s="221">
        <v>63799000</v>
      </c>
      <c r="I167" s="221">
        <v>0</v>
      </c>
      <c r="J167" s="221">
        <v>0</v>
      </c>
      <c r="K167" s="221">
        <v>0</v>
      </c>
      <c r="L167" s="221">
        <f t="shared" si="13"/>
        <v>63799000</v>
      </c>
      <c r="M167" s="222">
        <f t="shared" si="11"/>
        <v>974030.53435114503</v>
      </c>
      <c r="N167" s="223">
        <f>+SUM(N168:N179)</f>
        <v>245296.25</v>
      </c>
      <c r="O167" s="237">
        <f>+SUM(O168:O179)</f>
        <v>-260296.24999999997</v>
      </c>
      <c r="P167" s="224">
        <f>+SUM(P168:P179)</f>
        <v>959030.53450381674</v>
      </c>
      <c r="Q167" s="224">
        <f>+SUM(Q168:Q180)</f>
        <v>1110600</v>
      </c>
      <c r="R167" s="224">
        <f t="shared" si="12"/>
        <v>-151569.46549618326</v>
      </c>
    </row>
    <row r="168" spans="2:18" ht="38.1" customHeight="1" x14ac:dyDescent="0.3">
      <c r="B168" s="185" t="s">
        <v>1048</v>
      </c>
      <c r="C168" s="1152" t="s">
        <v>104</v>
      </c>
      <c r="D168" s="1152"/>
      <c r="E168" s="1152"/>
      <c r="F168" s="1153"/>
      <c r="G168" s="217">
        <v>0</v>
      </c>
      <c r="H168" s="217">
        <v>47650.84</v>
      </c>
      <c r="I168" s="217">
        <v>0</v>
      </c>
      <c r="J168" s="217">
        <v>0</v>
      </c>
      <c r="K168" s="217">
        <v>0</v>
      </c>
      <c r="L168" s="217">
        <f t="shared" si="13"/>
        <v>47650.84</v>
      </c>
      <c r="M168" s="220">
        <f t="shared" si="11"/>
        <v>727.49374045801517</v>
      </c>
      <c r="N168" s="202">
        <v>0</v>
      </c>
      <c r="O168" s="235">
        <v>0</v>
      </c>
      <c r="P168" s="205">
        <f t="shared" ref="P168:P179" si="15">+M168+O168+N168</f>
        <v>727.49374045801517</v>
      </c>
      <c r="Q168" s="205">
        <v>0</v>
      </c>
      <c r="R168" s="205">
        <f t="shared" si="12"/>
        <v>727.49374045801517</v>
      </c>
    </row>
    <row r="169" spans="2:18" ht="38.1" customHeight="1" x14ac:dyDescent="0.3">
      <c r="B169" s="184" t="s">
        <v>1049</v>
      </c>
      <c r="C169" s="1157" t="s">
        <v>892</v>
      </c>
      <c r="D169" s="1157"/>
      <c r="E169" s="1157"/>
      <c r="F169" s="1158"/>
      <c r="G169" s="211">
        <v>0</v>
      </c>
      <c r="H169" s="211">
        <v>476507.08</v>
      </c>
      <c r="I169" s="211">
        <v>0</v>
      </c>
      <c r="J169" s="211">
        <v>0</v>
      </c>
      <c r="K169" s="211">
        <v>0</v>
      </c>
      <c r="L169" s="211">
        <f t="shared" si="13"/>
        <v>476507.08</v>
      </c>
      <c r="M169" s="213">
        <f t="shared" si="11"/>
        <v>7274.9172519083968</v>
      </c>
      <c r="N169" s="201">
        <v>0</v>
      </c>
      <c r="O169" s="234">
        <v>0</v>
      </c>
      <c r="P169" s="203">
        <f t="shared" si="15"/>
        <v>7274.9172519083968</v>
      </c>
      <c r="Q169" s="203">
        <v>3500</v>
      </c>
      <c r="R169" s="203">
        <f t="shared" si="12"/>
        <v>3774.9172519083968</v>
      </c>
    </row>
    <row r="170" spans="2:18" ht="38.1" customHeight="1" x14ac:dyDescent="0.3">
      <c r="B170" s="185" t="s">
        <v>1050</v>
      </c>
      <c r="C170" s="1152" t="s">
        <v>193</v>
      </c>
      <c r="D170" s="1152"/>
      <c r="E170" s="1152"/>
      <c r="F170" s="1153"/>
      <c r="G170" s="217">
        <v>0</v>
      </c>
      <c r="H170" s="217">
        <v>47650.84</v>
      </c>
      <c r="I170" s="217">
        <v>0</v>
      </c>
      <c r="J170" s="217">
        <v>0</v>
      </c>
      <c r="K170" s="217">
        <v>0</v>
      </c>
      <c r="L170" s="217">
        <f t="shared" si="13"/>
        <v>47650.84</v>
      </c>
      <c r="M170" s="220">
        <f t="shared" si="11"/>
        <v>727.49374045801517</v>
      </c>
      <c r="N170" s="202">
        <v>0</v>
      </c>
      <c r="O170" s="235">
        <v>0</v>
      </c>
      <c r="P170" s="205">
        <f t="shared" si="15"/>
        <v>727.49374045801517</v>
      </c>
      <c r="Q170" s="205">
        <v>0</v>
      </c>
      <c r="R170" s="205">
        <f t="shared" si="12"/>
        <v>727.49374045801517</v>
      </c>
    </row>
    <row r="171" spans="2:18" ht="38.1" customHeight="1" x14ac:dyDescent="0.3">
      <c r="B171" s="184" t="s">
        <v>1051</v>
      </c>
      <c r="C171" s="1157" t="s">
        <v>189</v>
      </c>
      <c r="D171" s="1157"/>
      <c r="E171" s="1157"/>
      <c r="F171" s="1158"/>
      <c r="G171" s="211">
        <v>0</v>
      </c>
      <c r="H171" s="211">
        <v>3189950</v>
      </c>
      <c r="I171" s="211">
        <v>0</v>
      </c>
      <c r="J171" s="211">
        <v>0</v>
      </c>
      <c r="K171" s="211">
        <v>0</v>
      </c>
      <c r="L171" s="211">
        <f t="shared" si="13"/>
        <v>3189950</v>
      </c>
      <c r="M171" s="213">
        <f t="shared" si="11"/>
        <v>48701.526717557252</v>
      </c>
      <c r="N171" s="201">
        <v>0</v>
      </c>
      <c r="O171" s="234">
        <v>-15000</v>
      </c>
      <c r="P171" s="203">
        <f t="shared" si="15"/>
        <v>33701.526717557252</v>
      </c>
      <c r="Q171" s="203">
        <v>15000</v>
      </c>
      <c r="R171" s="203">
        <f t="shared" si="12"/>
        <v>18701.526717557252</v>
      </c>
    </row>
    <row r="172" spans="2:18" ht="38.1" customHeight="1" x14ac:dyDescent="0.3">
      <c r="B172" s="185" t="s">
        <v>1052</v>
      </c>
      <c r="C172" s="1152" t="s">
        <v>941</v>
      </c>
      <c r="D172" s="1152"/>
      <c r="E172" s="1152"/>
      <c r="F172" s="1153"/>
      <c r="G172" s="217">
        <v>0</v>
      </c>
      <c r="H172" s="217">
        <v>15883.4</v>
      </c>
      <c r="I172" s="217">
        <v>0</v>
      </c>
      <c r="J172" s="217">
        <v>0</v>
      </c>
      <c r="K172" s="217">
        <v>0</v>
      </c>
      <c r="L172" s="217">
        <f t="shared" si="13"/>
        <v>15883.4</v>
      </c>
      <c r="M172" s="220">
        <f t="shared" si="11"/>
        <v>242.49465648854962</v>
      </c>
      <c r="N172" s="202">
        <v>0</v>
      </c>
      <c r="O172" s="235">
        <v>0</v>
      </c>
      <c r="P172" s="205">
        <f t="shared" si="15"/>
        <v>242.49465648854962</v>
      </c>
      <c r="Q172" s="205">
        <v>0</v>
      </c>
      <c r="R172" s="205">
        <f t="shared" si="12"/>
        <v>242.49465648854962</v>
      </c>
    </row>
    <row r="173" spans="2:18" ht="38.1" customHeight="1" x14ac:dyDescent="0.3">
      <c r="B173" s="184" t="s">
        <v>1053</v>
      </c>
      <c r="C173" s="1157" t="s">
        <v>196</v>
      </c>
      <c r="D173" s="1157"/>
      <c r="E173" s="1157"/>
      <c r="F173" s="1158"/>
      <c r="G173" s="211">
        <v>0</v>
      </c>
      <c r="H173" s="211">
        <v>41509059.140000001</v>
      </c>
      <c r="I173" s="211">
        <v>0</v>
      </c>
      <c r="J173" s="211">
        <v>0</v>
      </c>
      <c r="K173" s="211">
        <v>0</v>
      </c>
      <c r="L173" s="211">
        <f t="shared" si="13"/>
        <v>41509059.140000001</v>
      </c>
      <c r="M173" s="213">
        <f t="shared" si="11"/>
        <v>633726.09374045802</v>
      </c>
      <c r="N173" s="253">
        <v>112963.29</v>
      </c>
      <c r="O173" s="234">
        <f>-100000</f>
        <v>-100000</v>
      </c>
      <c r="P173" s="203">
        <f t="shared" si="15"/>
        <v>646689.38374045806</v>
      </c>
      <c r="Q173" s="203">
        <v>550000</v>
      </c>
      <c r="R173" s="203">
        <f t="shared" si="12"/>
        <v>96689.383740458055</v>
      </c>
    </row>
    <row r="174" spans="2:18" ht="38.1" customHeight="1" x14ac:dyDescent="0.3">
      <c r="B174" s="259" t="s">
        <v>1054</v>
      </c>
      <c r="C174" s="1150" t="s">
        <v>196</v>
      </c>
      <c r="D174" s="1150"/>
      <c r="E174" s="1150"/>
      <c r="F174" s="1151"/>
      <c r="G174" s="260">
        <v>0</v>
      </c>
      <c r="H174" s="260">
        <v>7399095.4000000004</v>
      </c>
      <c r="I174" s="260">
        <v>0</v>
      </c>
      <c r="J174" s="260">
        <v>0</v>
      </c>
      <c r="K174" s="260">
        <v>0</v>
      </c>
      <c r="L174" s="260">
        <f t="shared" si="13"/>
        <v>7399095.4000000004</v>
      </c>
      <c r="M174" s="262">
        <f t="shared" si="11"/>
        <v>112963.28854961833</v>
      </c>
      <c r="N174" s="264">
        <v>0</v>
      </c>
      <c r="O174" s="265">
        <v>-112963.29</v>
      </c>
      <c r="P174" s="263">
        <f t="shared" si="15"/>
        <v>-1.4503816637443379E-3</v>
      </c>
      <c r="Q174" s="263">
        <v>0</v>
      </c>
      <c r="R174" s="263">
        <f t="shared" si="12"/>
        <v>-1.4503816637443379E-3</v>
      </c>
    </row>
    <row r="175" spans="2:18" ht="38.1" customHeight="1" x14ac:dyDescent="0.3">
      <c r="B175" s="184" t="s">
        <v>1055</v>
      </c>
      <c r="C175" s="1157" t="s">
        <v>1042</v>
      </c>
      <c r="D175" s="1157"/>
      <c r="E175" s="1157"/>
      <c r="F175" s="1158"/>
      <c r="G175" s="211">
        <v>0</v>
      </c>
      <c r="H175" s="211">
        <v>529452.59</v>
      </c>
      <c r="I175" s="211">
        <v>0</v>
      </c>
      <c r="J175" s="211">
        <v>0</v>
      </c>
      <c r="K175" s="211">
        <v>0</v>
      </c>
      <c r="L175" s="211">
        <f t="shared" si="13"/>
        <v>529452.59</v>
      </c>
      <c r="M175" s="213">
        <f t="shared" si="11"/>
        <v>8083.2456488549615</v>
      </c>
      <c r="N175" s="201">
        <v>0</v>
      </c>
      <c r="O175" s="234">
        <v>0</v>
      </c>
      <c r="P175" s="203">
        <f t="shared" si="15"/>
        <v>8083.2456488549615</v>
      </c>
      <c r="Q175" s="203">
        <v>4200</v>
      </c>
      <c r="R175" s="203">
        <f t="shared" si="12"/>
        <v>3883.2456488549615</v>
      </c>
    </row>
    <row r="176" spans="2:18" ht="38.1" customHeight="1" x14ac:dyDescent="0.3">
      <c r="B176" s="185" t="s">
        <v>1056</v>
      </c>
      <c r="C176" s="1152" t="s">
        <v>884</v>
      </c>
      <c r="D176" s="1152"/>
      <c r="E176" s="1152"/>
      <c r="F176" s="1153"/>
      <c r="G176" s="217">
        <v>0</v>
      </c>
      <c r="H176" s="217">
        <v>6353427.2400000002</v>
      </c>
      <c r="I176" s="217">
        <v>0</v>
      </c>
      <c r="J176" s="217">
        <v>0</v>
      </c>
      <c r="K176" s="217">
        <v>0</v>
      </c>
      <c r="L176" s="217">
        <f t="shared" si="13"/>
        <v>6353427.2400000002</v>
      </c>
      <c r="M176" s="220">
        <f t="shared" si="11"/>
        <v>96998.889160305349</v>
      </c>
      <c r="N176" s="254">
        <f>32332.96+100000</f>
        <v>132332.96</v>
      </c>
      <c r="O176" s="235">
        <v>0</v>
      </c>
      <c r="P176" s="205">
        <f t="shared" si="15"/>
        <v>229331.84916030534</v>
      </c>
      <c r="Q176" s="205">
        <v>163000</v>
      </c>
      <c r="R176" s="205">
        <f t="shared" si="12"/>
        <v>66331.849160305341</v>
      </c>
    </row>
    <row r="177" spans="2:18" ht="38.1" customHeight="1" x14ac:dyDescent="0.3">
      <c r="B177" s="259" t="s">
        <v>1057</v>
      </c>
      <c r="C177" s="1150" t="s">
        <v>884</v>
      </c>
      <c r="D177" s="1150"/>
      <c r="E177" s="1150"/>
      <c r="F177" s="1151"/>
      <c r="G177" s="260">
        <v>0</v>
      </c>
      <c r="H177" s="260">
        <v>2117809.08</v>
      </c>
      <c r="I177" s="260">
        <v>0</v>
      </c>
      <c r="J177" s="260">
        <v>0</v>
      </c>
      <c r="K177" s="260">
        <v>0</v>
      </c>
      <c r="L177" s="260">
        <f t="shared" si="13"/>
        <v>2117809.08</v>
      </c>
      <c r="M177" s="262">
        <f t="shared" si="11"/>
        <v>32332.963053435116</v>
      </c>
      <c r="N177" s="264">
        <v>0</v>
      </c>
      <c r="O177" s="265">
        <v>-32332.959999999999</v>
      </c>
      <c r="P177" s="263">
        <f t="shared" si="15"/>
        <v>3.0534351171809249E-3</v>
      </c>
      <c r="Q177" s="263">
        <v>0</v>
      </c>
      <c r="R177" s="263">
        <f t="shared" si="12"/>
        <v>3.0534351171809249E-3</v>
      </c>
    </row>
    <row r="178" spans="2:18" ht="38.1" customHeight="1" x14ac:dyDescent="0.3">
      <c r="B178" s="185" t="s">
        <v>1058</v>
      </c>
      <c r="C178" s="1152" t="s">
        <v>111</v>
      </c>
      <c r="D178" s="1152"/>
      <c r="E178" s="1152"/>
      <c r="F178" s="1153"/>
      <c r="G178" s="217">
        <v>0</v>
      </c>
      <c r="H178" s="217">
        <v>1985445.93</v>
      </c>
      <c r="I178" s="217">
        <v>0</v>
      </c>
      <c r="J178" s="217">
        <v>0</v>
      </c>
      <c r="K178" s="217">
        <v>0</v>
      </c>
      <c r="L178" s="217">
        <f t="shared" si="13"/>
        <v>1985445.93</v>
      </c>
      <c r="M178" s="220">
        <f t="shared" si="11"/>
        <v>30312.151603053433</v>
      </c>
      <c r="N178" s="202">
        <v>0</v>
      </c>
      <c r="O178" s="235">
        <v>0</v>
      </c>
      <c r="P178" s="205">
        <f t="shared" si="15"/>
        <v>30312.151603053433</v>
      </c>
      <c r="Q178" s="205">
        <v>24000</v>
      </c>
      <c r="R178" s="205">
        <f t="shared" si="12"/>
        <v>6312.1516030534331</v>
      </c>
    </row>
    <row r="179" spans="2:18" ht="38.1" customHeight="1" x14ac:dyDescent="0.3">
      <c r="B179" s="184" t="s">
        <v>1059</v>
      </c>
      <c r="C179" s="1157" t="s">
        <v>185</v>
      </c>
      <c r="D179" s="1157"/>
      <c r="E179" s="1157"/>
      <c r="F179" s="1158"/>
      <c r="G179" s="211">
        <v>0</v>
      </c>
      <c r="H179" s="211">
        <v>127068.47</v>
      </c>
      <c r="I179" s="211">
        <v>0</v>
      </c>
      <c r="J179" s="211">
        <v>0</v>
      </c>
      <c r="K179" s="211">
        <v>0</v>
      </c>
      <c r="L179" s="211">
        <f t="shared" si="13"/>
        <v>127068.47</v>
      </c>
      <c r="M179" s="213">
        <f t="shared" si="11"/>
        <v>1939.9766412213742</v>
      </c>
      <c r="N179" s="243">
        <v>0</v>
      </c>
      <c r="O179" s="245">
        <v>0</v>
      </c>
      <c r="P179" s="203">
        <f t="shared" si="15"/>
        <v>1939.9766412213742</v>
      </c>
      <c r="Q179" s="203">
        <v>900</v>
      </c>
      <c r="R179" s="203">
        <f t="shared" si="12"/>
        <v>1039.9766412213742</v>
      </c>
    </row>
    <row r="180" spans="2:18" ht="38.1" customHeight="1" x14ac:dyDescent="0.3">
      <c r="B180" s="361" t="s">
        <v>1049</v>
      </c>
      <c r="C180" s="1174" t="s">
        <v>878</v>
      </c>
      <c r="D180" s="1174"/>
      <c r="E180" s="1174"/>
      <c r="F180" s="1175"/>
      <c r="G180" s="365" t="s">
        <v>758</v>
      </c>
      <c r="H180" s="365" t="s">
        <v>758</v>
      </c>
      <c r="I180" s="365" t="s">
        <v>758</v>
      </c>
      <c r="J180" s="365" t="s">
        <v>758</v>
      </c>
      <c r="K180" s="365" t="s">
        <v>758</v>
      </c>
      <c r="L180" s="365" t="s">
        <v>758</v>
      </c>
      <c r="M180" s="365" t="s">
        <v>758</v>
      </c>
      <c r="N180" s="366">
        <v>350000</v>
      </c>
      <c r="O180" s="363">
        <v>0</v>
      </c>
      <c r="P180" s="364">
        <f>+N180+O180</f>
        <v>350000</v>
      </c>
      <c r="Q180" s="364">
        <v>350000</v>
      </c>
      <c r="R180" s="364">
        <f t="shared" si="12"/>
        <v>0</v>
      </c>
    </row>
    <row r="181" spans="2:18" ht="38.1" customHeight="1" x14ac:dyDescent="0.3">
      <c r="B181" s="1171" t="s">
        <v>1060</v>
      </c>
      <c r="C181" s="1172"/>
      <c r="D181" s="1172"/>
      <c r="E181" s="1172"/>
      <c r="F181" s="1173"/>
      <c r="G181" s="221">
        <v>0</v>
      </c>
      <c r="H181" s="221">
        <v>20355321.68</v>
      </c>
      <c r="I181" s="221">
        <v>0</v>
      </c>
      <c r="J181" s="221">
        <v>0</v>
      </c>
      <c r="K181" s="221">
        <v>0</v>
      </c>
      <c r="L181" s="221">
        <f t="shared" si="13"/>
        <v>20355321.68</v>
      </c>
      <c r="M181" s="222">
        <f t="shared" si="11"/>
        <v>310768.26992366411</v>
      </c>
      <c r="N181" s="223">
        <f>+SUM(N182:N194)</f>
        <v>577572.61</v>
      </c>
      <c r="O181" s="237">
        <f>+SUM(O182:O194)</f>
        <v>-5291.0899999999892</v>
      </c>
      <c r="P181" s="224">
        <f>+SUM(P182:P194)</f>
        <v>883049.78961832065</v>
      </c>
      <c r="Q181" s="224">
        <f>+SUM(Q182:Q193)</f>
        <v>828875.99</v>
      </c>
      <c r="R181" s="224">
        <f t="shared" si="12"/>
        <v>54173.799618320656</v>
      </c>
    </row>
    <row r="182" spans="2:18" ht="38.1" customHeight="1" x14ac:dyDescent="0.3">
      <c r="B182" s="184" t="s">
        <v>1061</v>
      </c>
      <c r="C182" s="1157" t="s">
        <v>104</v>
      </c>
      <c r="D182" s="1157"/>
      <c r="E182" s="1157"/>
      <c r="F182" s="1158"/>
      <c r="G182" s="211">
        <v>0</v>
      </c>
      <c r="H182" s="211">
        <v>63534.23</v>
      </c>
      <c r="I182" s="211">
        <v>0</v>
      </c>
      <c r="J182" s="211">
        <v>0</v>
      </c>
      <c r="K182" s="211">
        <v>0</v>
      </c>
      <c r="L182" s="211">
        <f t="shared" si="13"/>
        <v>63534.23</v>
      </c>
      <c r="M182" s="213">
        <f t="shared" si="11"/>
        <v>969.98824427480918</v>
      </c>
      <c r="N182" s="201">
        <v>0</v>
      </c>
      <c r="O182" s="234">
        <v>0</v>
      </c>
      <c r="P182" s="203">
        <f t="shared" ref="P182:P194" si="16">+M182+O182+N182</f>
        <v>969.98824427480918</v>
      </c>
      <c r="Q182" s="203">
        <v>0</v>
      </c>
      <c r="R182" s="203">
        <f t="shared" si="12"/>
        <v>969.98824427480918</v>
      </c>
    </row>
    <row r="183" spans="2:18" ht="38.1" customHeight="1" x14ac:dyDescent="0.3">
      <c r="B183" s="185" t="s">
        <v>1062</v>
      </c>
      <c r="C183" s="1152" t="s">
        <v>111</v>
      </c>
      <c r="D183" s="1152"/>
      <c r="E183" s="1152"/>
      <c r="F183" s="1153"/>
      <c r="G183" s="217">
        <v>0</v>
      </c>
      <c r="H183" s="217">
        <v>953014.15</v>
      </c>
      <c r="I183" s="217">
        <v>0</v>
      </c>
      <c r="J183" s="217">
        <v>0</v>
      </c>
      <c r="K183" s="217">
        <v>0</v>
      </c>
      <c r="L183" s="217">
        <f t="shared" si="13"/>
        <v>953014.15</v>
      </c>
      <c r="M183" s="220">
        <f t="shared" si="11"/>
        <v>14549.834351145038</v>
      </c>
      <c r="N183" s="202">
        <v>0</v>
      </c>
      <c r="O183" s="235">
        <v>10000</v>
      </c>
      <c r="P183" s="205">
        <f t="shared" si="16"/>
        <v>24549.834351145037</v>
      </c>
      <c r="Q183" s="205">
        <v>22500</v>
      </c>
      <c r="R183" s="205">
        <f t="shared" si="12"/>
        <v>2049.8343511450366</v>
      </c>
    </row>
    <row r="184" spans="2:18" ht="38.1" customHeight="1" x14ac:dyDescent="0.3">
      <c r="B184" s="184" t="s">
        <v>1063</v>
      </c>
      <c r="C184" s="1157" t="s">
        <v>185</v>
      </c>
      <c r="D184" s="1157"/>
      <c r="E184" s="1157"/>
      <c r="F184" s="1158"/>
      <c r="G184" s="211">
        <v>0</v>
      </c>
      <c r="H184" s="211">
        <v>63534.23</v>
      </c>
      <c r="I184" s="211">
        <v>0</v>
      </c>
      <c r="J184" s="211">
        <v>0</v>
      </c>
      <c r="K184" s="211">
        <v>0</v>
      </c>
      <c r="L184" s="211">
        <f t="shared" si="13"/>
        <v>63534.23</v>
      </c>
      <c r="M184" s="213">
        <f t="shared" si="11"/>
        <v>969.98824427480918</v>
      </c>
      <c r="N184" s="201">
        <v>0</v>
      </c>
      <c r="O184" s="234">
        <v>0</v>
      </c>
      <c r="P184" s="203">
        <f t="shared" si="16"/>
        <v>969.98824427480918</v>
      </c>
      <c r="Q184" s="203">
        <v>900</v>
      </c>
      <c r="R184" s="203">
        <f t="shared" si="12"/>
        <v>69.988244274809176</v>
      </c>
    </row>
    <row r="185" spans="2:18" ht="38.1" customHeight="1" x14ac:dyDescent="0.3">
      <c r="B185" s="185" t="s">
        <v>1064</v>
      </c>
      <c r="C185" s="1152" t="s">
        <v>892</v>
      </c>
      <c r="D185" s="1152"/>
      <c r="E185" s="1152"/>
      <c r="F185" s="1153"/>
      <c r="G185" s="217">
        <v>0</v>
      </c>
      <c r="H185" s="217">
        <v>508273.87</v>
      </c>
      <c r="I185" s="217">
        <v>0</v>
      </c>
      <c r="J185" s="217">
        <v>0</v>
      </c>
      <c r="K185" s="217">
        <v>0</v>
      </c>
      <c r="L185" s="217">
        <f t="shared" si="13"/>
        <v>508273.87</v>
      </c>
      <c r="M185" s="220">
        <f t="shared" si="11"/>
        <v>7759.9064122137406</v>
      </c>
      <c r="N185" s="202">
        <v>0</v>
      </c>
      <c r="O185" s="235">
        <v>0</v>
      </c>
      <c r="P185" s="205">
        <f t="shared" si="16"/>
        <v>7759.9064122137406</v>
      </c>
      <c r="Q185" s="205">
        <v>3500</v>
      </c>
      <c r="R185" s="205">
        <f t="shared" si="12"/>
        <v>4259.9064122137406</v>
      </c>
    </row>
    <row r="186" spans="2:18" ht="38.1" customHeight="1" x14ac:dyDescent="0.3">
      <c r="B186" s="184" t="s">
        <v>1065</v>
      </c>
      <c r="C186" s="1157" t="s">
        <v>193</v>
      </c>
      <c r="D186" s="1157"/>
      <c r="E186" s="1157"/>
      <c r="F186" s="1158"/>
      <c r="G186" s="211">
        <v>0</v>
      </c>
      <c r="H186" s="211">
        <v>50827.39</v>
      </c>
      <c r="I186" s="211">
        <v>0</v>
      </c>
      <c r="J186" s="211">
        <v>0</v>
      </c>
      <c r="K186" s="211">
        <v>0</v>
      </c>
      <c r="L186" s="211">
        <f t="shared" si="13"/>
        <v>50827.39</v>
      </c>
      <c r="M186" s="213">
        <f t="shared" si="11"/>
        <v>775.99068702290072</v>
      </c>
      <c r="N186" s="201">
        <v>0</v>
      </c>
      <c r="O186" s="234">
        <v>0</v>
      </c>
      <c r="P186" s="203">
        <f t="shared" si="16"/>
        <v>775.99068702290072</v>
      </c>
      <c r="Q186" s="203">
        <v>775.99</v>
      </c>
      <c r="R186" s="203">
        <f t="shared" si="12"/>
        <v>6.8702290070632444E-4</v>
      </c>
    </row>
    <row r="187" spans="2:18" ht="38.1" customHeight="1" x14ac:dyDescent="0.3">
      <c r="B187" s="185" t="s">
        <v>1066</v>
      </c>
      <c r="C187" s="1152" t="s">
        <v>941</v>
      </c>
      <c r="D187" s="1152"/>
      <c r="E187" s="1152"/>
      <c r="F187" s="1153"/>
      <c r="G187" s="217">
        <v>0</v>
      </c>
      <c r="H187" s="217">
        <v>15883.4</v>
      </c>
      <c r="I187" s="217">
        <v>0</v>
      </c>
      <c r="J187" s="217">
        <v>0</v>
      </c>
      <c r="K187" s="217">
        <v>0</v>
      </c>
      <c r="L187" s="217">
        <f t="shared" si="13"/>
        <v>15883.4</v>
      </c>
      <c r="M187" s="220">
        <f t="shared" si="11"/>
        <v>242.49465648854962</v>
      </c>
      <c r="N187" s="202">
        <v>0</v>
      </c>
      <c r="O187" s="235">
        <v>0</v>
      </c>
      <c r="P187" s="205">
        <f t="shared" si="16"/>
        <v>242.49465648854962</v>
      </c>
      <c r="Q187" s="205">
        <v>0</v>
      </c>
      <c r="R187" s="205">
        <f t="shared" si="12"/>
        <v>242.49465648854962</v>
      </c>
    </row>
    <row r="188" spans="2:18" ht="38.1" customHeight="1" x14ac:dyDescent="0.3">
      <c r="B188" s="184" t="s">
        <v>1067</v>
      </c>
      <c r="C188" s="1157" t="s">
        <v>196</v>
      </c>
      <c r="D188" s="1157"/>
      <c r="E188" s="1157"/>
      <c r="F188" s="1158"/>
      <c r="G188" s="211">
        <v>0</v>
      </c>
      <c r="H188" s="211">
        <v>4235618.16</v>
      </c>
      <c r="I188" s="211">
        <v>0</v>
      </c>
      <c r="J188" s="211">
        <v>0</v>
      </c>
      <c r="K188" s="211">
        <v>0</v>
      </c>
      <c r="L188" s="211">
        <f t="shared" si="13"/>
        <v>4235618.16</v>
      </c>
      <c r="M188" s="213">
        <f t="shared" si="11"/>
        <v>64665.926106870233</v>
      </c>
      <c r="N188" s="253">
        <v>64665.93</v>
      </c>
      <c r="O188" s="234">
        <v>5000</v>
      </c>
      <c r="P188" s="203">
        <f t="shared" si="16"/>
        <v>134331.85610687023</v>
      </c>
      <c r="Q188" s="203">
        <v>100000</v>
      </c>
      <c r="R188" s="203">
        <f t="shared" si="12"/>
        <v>34331.856106870226</v>
      </c>
    </row>
    <row r="189" spans="2:18" ht="38.1" customHeight="1" x14ac:dyDescent="0.3">
      <c r="B189" s="259" t="s">
        <v>1068</v>
      </c>
      <c r="C189" s="1150" t="s">
        <v>196</v>
      </c>
      <c r="D189" s="1150"/>
      <c r="E189" s="1150"/>
      <c r="F189" s="1151"/>
      <c r="G189" s="260">
        <v>0</v>
      </c>
      <c r="H189" s="260">
        <v>4235618.16</v>
      </c>
      <c r="I189" s="260">
        <v>0</v>
      </c>
      <c r="J189" s="260">
        <v>0</v>
      </c>
      <c r="K189" s="260">
        <v>0</v>
      </c>
      <c r="L189" s="260">
        <f t="shared" si="13"/>
        <v>4235618.16</v>
      </c>
      <c r="M189" s="262">
        <f t="shared" si="11"/>
        <v>64665.926106870233</v>
      </c>
      <c r="N189" s="343">
        <v>0</v>
      </c>
      <c r="O189" s="265">
        <v>-64665.93</v>
      </c>
      <c r="P189" s="263">
        <f t="shared" si="16"/>
        <v>-3.8931297676754184E-3</v>
      </c>
      <c r="Q189" s="263">
        <v>0</v>
      </c>
      <c r="R189" s="263">
        <f t="shared" si="12"/>
        <v>-3.8931297676754184E-3</v>
      </c>
    </row>
    <row r="190" spans="2:18" ht="38.1" customHeight="1" x14ac:dyDescent="0.3">
      <c r="B190" s="184" t="s">
        <v>1069</v>
      </c>
      <c r="C190" s="1157" t="s">
        <v>916</v>
      </c>
      <c r="D190" s="1157"/>
      <c r="E190" s="1157"/>
      <c r="F190" s="1158"/>
      <c r="G190" s="211">
        <v>0</v>
      </c>
      <c r="H190" s="211">
        <v>2202521.39</v>
      </c>
      <c r="I190" s="211">
        <v>0</v>
      </c>
      <c r="J190" s="211">
        <v>0</v>
      </c>
      <c r="K190" s="211">
        <v>0</v>
      </c>
      <c r="L190" s="211">
        <f t="shared" si="13"/>
        <v>2202521.39</v>
      </c>
      <c r="M190" s="213">
        <f t="shared" si="11"/>
        <v>33626.28076335878</v>
      </c>
      <c r="N190" s="253">
        <f>480573.72</f>
        <v>480573.72</v>
      </c>
      <c r="O190" s="234">
        <v>0</v>
      </c>
      <c r="P190" s="203">
        <f t="shared" si="16"/>
        <v>514200.00076335878</v>
      </c>
      <c r="Q190" s="203">
        <v>514200</v>
      </c>
      <c r="R190" s="203">
        <f t="shared" si="12"/>
        <v>7.6335878111422062E-4</v>
      </c>
    </row>
    <row r="191" spans="2:18" ht="38.1" customHeight="1" x14ac:dyDescent="0.3">
      <c r="B191" s="259" t="s">
        <v>1070</v>
      </c>
      <c r="C191" s="1150" t="s">
        <v>916</v>
      </c>
      <c r="D191" s="1150"/>
      <c r="E191" s="1150"/>
      <c r="F191" s="1151"/>
      <c r="G191" s="260">
        <v>0</v>
      </c>
      <c r="H191" s="260">
        <v>2202521.39</v>
      </c>
      <c r="I191" s="260">
        <v>0</v>
      </c>
      <c r="J191" s="260">
        <v>0</v>
      </c>
      <c r="K191" s="260">
        <v>0</v>
      </c>
      <c r="L191" s="260">
        <f t="shared" si="13"/>
        <v>2202521.39</v>
      </c>
      <c r="M191" s="262">
        <f t="shared" si="11"/>
        <v>33626.28076335878</v>
      </c>
      <c r="N191" s="343">
        <v>0</v>
      </c>
      <c r="O191" s="265">
        <v>-33626.28</v>
      </c>
      <c r="P191" s="263">
        <f t="shared" si="16"/>
        <v>7.6335878111422062E-4</v>
      </c>
      <c r="Q191" s="263">
        <v>0</v>
      </c>
      <c r="R191" s="263">
        <f t="shared" si="12"/>
        <v>7.6335878111422062E-4</v>
      </c>
    </row>
    <row r="192" spans="2:18" ht="38.1" customHeight="1" x14ac:dyDescent="0.3">
      <c r="B192" s="184" t="s">
        <v>1071</v>
      </c>
      <c r="C192" s="1157" t="s">
        <v>1042</v>
      </c>
      <c r="D192" s="1157"/>
      <c r="E192" s="1157"/>
      <c r="F192" s="1158"/>
      <c r="G192" s="211">
        <v>0</v>
      </c>
      <c r="H192" s="211">
        <v>1588357.13</v>
      </c>
      <c r="I192" s="211">
        <v>0</v>
      </c>
      <c r="J192" s="211">
        <v>0</v>
      </c>
      <c r="K192" s="211">
        <v>0</v>
      </c>
      <c r="L192" s="211">
        <f t="shared" si="13"/>
        <v>1588357.13</v>
      </c>
      <c r="M192" s="213">
        <f t="shared" si="11"/>
        <v>24249.727175572516</v>
      </c>
      <c r="N192" s="347">
        <v>0</v>
      </c>
      <c r="O192" s="234">
        <v>0</v>
      </c>
      <c r="P192" s="203">
        <f t="shared" si="16"/>
        <v>24249.727175572516</v>
      </c>
      <c r="Q192" s="203">
        <v>12000</v>
      </c>
      <c r="R192" s="203">
        <f t="shared" si="12"/>
        <v>12249.727175572516</v>
      </c>
    </row>
    <row r="193" spans="2:18" ht="38.1" customHeight="1" x14ac:dyDescent="0.3">
      <c r="B193" s="185" t="s">
        <v>1072</v>
      </c>
      <c r="C193" s="1152" t="s">
        <v>884</v>
      </c>
      <c r="D193" s="1152"/>
      <c r="E193" s="1152"/>
      <c r="F193" s="1153"/>
      <c r="G193" s="217">
        <v>0</v>
      </c>
      <c r="H193" s="217">
        <v>2117809.08</v>
      </c>
      <c r="I193" s="217">
        <v>0</v>
      </c>
      <c r="J193" s="217">
        <v>0</v>
      </c>
      <c r="K193" s="217">
        <v>0</v>
      </c>
      <c r="L193" s="217">
        <f t="shared" si="13"/>
        <v>2117809.08</v>
      </c>
      <c r="M193" s="220">
        <f t="shared" si="11"/>
        <v>32332.963053435116</v>
      </c>
      <c r="N193" s="254">
        <v>32332.959999999999</v>
      </c>
      <c r="O193" s="235">
        <v>110334.08</v>
      </c>
      <c r="P193" s="205">
        <f t="shared" si="16"/>
        <v>175000.0030534351</v>
      </c>
      <c r="Q193" s="205">
        <v>175000</v>
      </c>
      <c r="R193" s="205">
        <f t="shared" si="12"/>
        <v>3.053435095353052E-3</v>
      </c>
    </row>
    <row r="194" spans="2:18" ht="38.1" customHeight="1" x14ac:dyDescent="0.3">
      <c r="B194" s="259" t="s">
        <v>1073</v>
      </c>
      <c r="C194" s="1150" t="s">
        <v>884</v>
      </c>
      <c r="D194" s="1150"/>
      <c r="E194" s="1150"/>
      <c r="F194" s="1151"/>
      <c r="G194" s="260">
        <v>0</v>
      </c>
      <c r="H194" s="260">
        <v>2117809.08</v>
      </c>
      <c r="I194" s="260">
        <v>0</v>
      </c>
      <c r="J194" s="260">
        <v>0</v>
      </c>
      <c r="K194" s="260">
        <v>0</v>
      </c>
      <c r="L194" s="260">
        <f t="shared" si="13"/>
        <v>2117809.08</v>
      </c>
      <c r="M194" s="262">
        <f t="shared" si="11"/>
        <v>32332.963053435116</v>
      </c>
      <c r="N194" s="264">
        <v>0</v>
      </c>
      <c r="O194" s="265">
        <v>-32332.959999999999</v>
      </c>
      <c r="P194" s="263">
        <f t="shared" si="16"/>
        <v>3.0534351171809249E-3</v>
      </c>
      <c r="Q194" s="263">
        <v>0</v>
      </c>
      <c r="R194" s="263">
        <f t="shared" si="12"/>
        <v>3.0534351171809249E-3</v>
      </c>
    </row>
    <row r="195" spans="2:18" ht="38.1" customHeight="1" x14ac:dyDescent="0.3">
      <c r="B195" s="1176" t="s">
        <v>1074</v>
      </c>
      <c r="C195" s="1177"/>
      <c r="D195" s="1177"/>
      <c r="E195" s="1177"/>
      <c r="F195" s="1178"/>
      <c r="G195" s="225">
        <v>0</v>
      </c>
      <c r="H195" s="225">
        <v>159497500.63999999</v>
      </c>
      <c r="I195" s="225">
        <v>2562271.83</v>
      </c>
      <c r="J195" s="225">
        <v>638959.11</v>
      </c>
      <c r="K195" s="225">
        <v>430138.6</v>
      </c>
      <c r="L195" s="225">
        <f t="shared" si="13"/>
        <v>159067362.03999999</v>
      </c>
      <c r="M195" s="226">
        <f t="shared" si="11"/>
        <v>2428509.3441221374</v>
      </c>
      <c r="N195" s="227">
        <f>+SUM(N196:N215)</f>
        <v>3117577.18</v>
      </c>
      <c r="O195" s="238">
        <f>+SUM(O196:O215)</f>
        <v>-3117577.18</v>
      </c>
      <c r="P195" s="228">
        <f>+SUM(P196:P215)</f>
        <v>2428509.3441221374</v>
      </c>
      <c r="Q195" s="228">
        <f>+SUM(Q196:Q209)</f>
        <v>822714.33332061069</v>
      </c>
      <c r="R195" s="228">
        <f t="shared" si="12"/>
        <v>1605795.0108015267</v>
      </c>
    </row>
    <row r="196" spans="2:18" ht="38.1" customHeight="1" x14ac:dyDescent="0.3">
      <c r="B196" s="257" t="s">
        <v>1075</v>
      </c>
      <c r="C196" s="1179" t="s">
        <v>104</v>
      </c>
      <c r="D196" s="1179"/>
      <c r="E196" s="1179"/>
      <c r="F196" s="1180"/>
      <c r="G196" s="211">
        <v>0</v>
      </c>
      <c r="H196" s="211">
        <v>95301.67</v>
      </c>
      <c r="I196" s="211">
        <v>0</v>
      </c>
      <c r="J196" s="211">
        <v>0</v>
      </c>
      <c r="K196" s="211">
        <v>0</v>
      </c>
      <c r="L196" s="211">
        <f t="shared" si="13"/>
        <v>95301.67</v>
      </c>
      <c r="M196" s="213">
        <f t="shared" si="11"/>
        <v>1454.9873282442747</v>
      </c>
      <c r="N196" s="201">
        <v>0</v>
      </c>
      <c r="O196" s="234">
        <v>0</v>
      </c>
      <c r="P196" s="203">
        <f t="shared" ref="P196:P215" si="17">+M196+O196+N196</f>
        <v>1454.9873282442747</v>
      </c>
      <c r="Q196" s="203">
        <f>+P196/2</f>
        <v>727.49366412213737</v>
      </c>
      <c r="R196" s="203">
        <f t="shared" si="12"/>
        <v>727.49366412213737</v>
      </c>
    </row>
    <row r="197" spans="2:18" ht="38.1" customHeight="1" x14ac:dyDescent="0.3">
      <c r="B197" s="258" t="s">
        <v>1076</v>
      </c>
      <c r="C197" s="1187" t="s">
        <v>196</v>
      </c>
      <c r="D197" s="1187"/>
      <c r="E197" s="1187"/>
      <c r="F197" s="1188"/>
      <c r="G197" s="217">
        <v>0</v>
      </c>
      <c r="H197" s="217">
        <v>1794949.14</v>
      </c>
      <c r="I197" s="217">
        <v>0</v>
      </c>
      <c r="J197" s="217">
        <v>0</v>
      </c>
      <c r="K197" s="217">
        <v>0</v>
      </c>
      <c r="L197" s="217">
        <f t="shared" si="13"/>
        <v>1794949.14</v>
      </c>
      <c r="M197" s="220">
        <f t="shared" si="11"/>
        <v>27403.803664122137</v>
      </c>
      <c r="N197" s="254">
        <f>+-175000+1408969.85</f>
        <v>1233969.8500000001</v>
      </c>
      <c r="O197" s="235">
        <v>0</v>
      </c>
      <c r="P197" s="205">
        <f t="shared" si="17"/>
        <v>1261373.6536641223</v>
      </c>
      <c r="Q197" s="205">
        <f>+P197/2</f>
        <v>630686.82683206117</v>
      </c>
      <c r="R197" s="205">
        <f t="shared" si="12"/>
        <v>630686.82683206117</v>
      </c>
    </row>
    <row r="198" spans="2:18" ht="38.1" customHeight="1" x14ac:dyDescent="0.3">
      <c r="B198" s="257" t="s">
        <v>1077</v>
      </c>
      <c r="C198" s="1179" t="s">
        <v>878</v>
      </c>
      <c r="D198" s="1179"/>
      <c r="E198" s="1179"/>
      <c r="F198" s="1180"/>
      <c r="G198" s="211">
        <v>0</v>
      </c>
      <c r="H198" s="211">
        <v>20798474</v>
      </c>
      <c r="I198" s="211">
        <v>0</v>
      </c>
      <c r="J198" s="211">
        <v>0</v>
      </c>
      <c r="K198" s="211">
        <v>0</v>
      </c>
      <c r="L198" s="211">
        <f t="shared" si="13"/>
        <v>20798474</v>
      </c>
      <c r="M198" s="213">
        <f t="shared" ref="M198:M215" si="18">+L198/65.5</f>
        <v>317533.95419847331</v>
      </c>
      <c r="N198" s="201">
        <v>0</v>
      </c>
      <c r="O198" s="234">
        <v>0</v>
      </c>
      <c r="P198" s="203">
        <f t="shared" si="17"/>
        <v>317533.95419847331</v>
      </c>
      <c r="Q198" s="203">
        <v>0</v>
      </c>
      <c r="R198" s="203">
        <f t="shared" ref="R198:R216" si="19">+P198-Q198</f>
        <v>317533.95419847331</v>
      </c>
    </row>
    <row r="199" spans="2:18" ht="38.1" customHeight="1" x14ac:dyDescent="0.3">
      <c r="B199" s="258" t="s">
        <v>1078</v>
      </c>
      <c r="C199" s="1187" t="s">
        <v>853</v>
      </c>
      <c r="D199" s="1187"/>
      <c r="E199" s="1187"/>
      <c r="F199" s="1188"/>
      <c r="G199" s="217">
        <v>0</v>
      </c>
      <c r="H199" s="217">
        <v>2077958.95</v>
      </c>
      <c r="I199" s="217">
        <v>0</v>
      </c>
      <c r="J199" s="217">
        <v>0</v>
      </c>
      <c r="K199" s="217">
        <v>0</v>
      </c>
      <c r="L199" s="217">
        <f t="shared" si="13"/>
        <v>2077958.95</v>
      </c>
      <c r="M199" s="220">
        <f t="shared" si="18"/>
        <v>31724.564122137403</v>
      </c>
      <c r="N199" s="202">
        <v>0</v>
      </c>
      <c r="O199" s="235">
        <v>0</v>
      </c>
      <c r="P199" s="205">
        <f t="shared" si="17"/>
        <v>31724.564122137403</v>
      </c>
      <c r="Q199" s="205">
        <v>0</v>
      </c>
      <c r="R199" s="205">
        <f t="shared" si="19"/>
        <v>31724.564122137403</v>
      </c>
    </row>
    <row r="200" spans="2:18" ht="38.1" customHeight="1" x14ac:dyDescent="0.3">
      <c r="B200" s="257" t="s">
        <v>1079</v>
      </c>
      <c r="C200" s="1179" t="s">
        <v>1080</v>
      </c>
      <c r="D200" s="1179"/>
      <c r="E200" s="1179"/>
      <c r="F200" s="1180"/>
      <c r="G200" s="211">
        <v>0</v>
      </c>
      <c r="H200" s="211">
        <v>11802815</v>
      </c>
      <c r="I200" s="211">
        <v>0</v>
      </c>
      <c r="J200" s="211">
        <v>0</v>
      </c>
      <c r="K200" s="211">
        <v>0</v>
      </c>
      <c r="L200" s="211">
        <f t="shared" si="13"/>
        <v>11802815</v>
      </c>
      <c r="M200" s="213">
        <f t="shared" si="18"/>
        <v>180195.64885496182</v>
      </c>
      <c r="N200" s="201">
        <v>0</v>
      </c>
      <c r="O200" s="234">
        <v>0</v>
      </c>
      <c r="P200" s="203">
        <f t="shared" si="17"/>
        <v>180195.64885496182</v>
      </c>
      <c r="Q200" s="203">
        <f>+P200/2</f>
        <v>90097.824427480911</v>
      </c>
      <c r="R200" s="203">
        <f t="shared" si="19"/>
        <v>90097.824427480911</v>
      </c>
    </row>
    <row r="201" spans="2:18" ht="38.1" customHeight="1" x14ac:dyDescent="0.3">
      <c r="B201" s="258" t="s">
        <v>1081</v>
      </c>
      <c r="C201" s="1187" t="s">
        <v>1042</v>
      </c>
      <c r="D201" s="1187"/>
      <c r="E201" s="1187"/>
      <c r="F201" s="1188"/>
      <c r="G201" s="217">
        <v>0</v>
      </c>
      <c r="H201" s="217">
        <v>211780.78</v>
      </c>
      <c r="I201" s="217">
        <v>0</v>
      </c>
      <c r="J201" s="217">
        <v>0</v>
      </c>
      <c r="K201" s="217">
        <v>0</v>
      </c>
      <c r="L201" s="217">
        <f t="shared" si="13"/>
        <v>211780.78</v>
      </c>
      <c r="M201" s="220">
        <f t="shared" si="18"/>
        <v>3233.294351145038</v>
      </c>
      <c r="N201" s="202">
        <v>0</v>
      </c>
      <c r="O201" s="235">
        <v>0</v>
      </c>
      <c r="P201" s="205">
        <f t="shared" si="17"/>
        <v>3233.294351145038</v>
      </c>
      <c r="Q201" s="205">
        <f>+P201/2</f>
        <v>1616.647175572519</v>
      </c>
      <c r="R201" s="205">
        <f t="shared" si="19"/>
        <v>1616.647175572519</v>
      </c>
    </row>
    <row r="202" spans="2:18" ht="38.1" customHeight="1" x14ac:dyDescent="0.3">
      <c r="B202" s="257" t="s">
        <v>1082</v>
      </c>
      <c r="C202" s="1179" t="s">
        <v>111</v>
      </c>
      <c r="D202" s="1179"/>
      <c r="E202" s="1179"/>
      <c r="F202" s="1180"/>
      <c r="G202" s="211">
        <v>0</v>
      </c>
      <c r="H202" s="211">
        <v>1588357.13</v>
      </c>
      <c r="I202" s="211">
        <v>0</v>
      </c>
      <c r="J202" s="211">
        <v>0</v>
      </c>
      <c r="K202" s="211">
        <v>0</v>
      </c>
      <c r="L202" s="211">
        <f t="shared" si="13"/>
        <v>1588357.13</v>
      </c>
      <c r="M202" s="213">
        <f t="shared" si="18"/>
        <v>24249.727175572516</v>
      </c>
      <c r="N202" s="201">
        <v>0</v>
      </c>
      <c r="O202" s="234">
        <v>0</v>
      </c>
      <c r="P202" s="203">
        <f t="shared" si="17"/>
        <v>24249.727175572516</v>
      </c>
      <c r="Q202" s="203">
        <v>0</v>
      </c>
      <c r="R202" s="203">
        <f t="shared" si="19"/>
        <v>24249.727175572516</v>
      </c>
    </row>
    <row r="203" spans="2:18" ht="38.1" customHeight="1" x14ac:dyDescent="0.3">
      <c r="B203" s="258" t="s">
        <v>1083</v>
      </c>
      <c r="C203" s="1187" t="s">
        <v>185</v>
      </c>
      <c r="D203" s="1187"/>
      <c r="E203" s="1187"/>
      <c r="F203" s="1188"/>
      <c r="G203" s="217">
        <v>0</v>
      </c>
      <c r="H203" s="217">
        <v>211780.78</v>
      </c>
      <c r="I203" s="217">
        <v>0</v>
      </c>
      <c r="J203" s="217">
        <v>0</v>
      </c>
      <c r="K203" s="217">
        <v>0</v>
      </c>
      <c r="L203" s="217">
        <f t="shared" si="13"/>
        <v>211780.78</v>
      </c>
      <c r="M203" s="220">
        <f t="shared" si="18"/>
        <v>3233.294351145038</v>
      </c>
      <c r="N203" s="202">
        <v>0</v>
      </c>
      <c r="O203" s="235">
        <v>0</v>
      </c>
      <c r="P203" s="205">
        <f t="shared" si="17"/>
        <v>3233.294351145038</v>
      </c>
      <c r="Q203" s="205">
        <v>0</v>
      </c>
      <c r="R203" s="205">
        <f t="shared" si="19"/>
        <v>3233.294351145038</v>
      </c>
    </row>
    <row r="204" spans="2:18" ht="38.1" customHeight="1" x14ac:dyDescent="0.3">
      <c r="B204" s="257" t="s">
        <v>1084</v>
      </c>
      <c r="C204" s="1179" t="s">
        <v>892</v>
      </c>
      <c r="D204" s="1179"/>
      <c r="E204" s="1179"/>
      <c r="F204" s="1180"/>
      <c r="G204" s="211">
        <v>0</v>
      </c>
      <c r="H204" s="211">
        <v>158835.9</v>
      </c>
      <c r="I204" s="211">
        <v>0</v>
      </c>
      <c r="J204" s="211">
        <v>0</v>
      </c>
      <c r="K204" s="211">
        <v>0</v>
      </c>
      <c r="L204" s="211">
        <f t="shared" si="13"/>
        <v>158835.9</v>
      </c>
      <c r="M204" s="213">
        <f t="shared" si="18"/>
        <v>2424.9755725190839</v>
      </c>
      <c r="N204" s="201">
        <v>0</v>
      </c>
      <c r="O204" s="234">
        <v>0</v>
      </c>
      <c r="P204" s="203">
        <f t="shared" si="17"/>
        <v>2424.9755725190839</v>
      </c>
      <c r="Q204" s="203">
        <f>+P204/2</f>
        <v>1212.487786259542</v>
      </c>
      <c r="R204" s="203">
        <f t="shared" si="19"/>
        <v>1212.487786259542</v>
      </c>
    </row>
    <row r="205" spans="2:18" ht="38.1" customHeight="1" x14ac:dyDescent="0.3">
      <c r="B205" s="258" t="s">
        <v>1085</v>
      </c>
      <c r="C205" s="1187" t="s">
        <v>193</v>
      </c>
      <c r="D205" s="1187"/>
      <c r="E205" s="1187"/>
      <c r="F205" s="1188"/>
      <c r="G205" s="217">
        <v>0</v>
      </c>
      <c r="H205" s="217">
        <v>15883.4</v>
      </c>
      <c r="I205" s="217">
        <v>0</v>
      </c>
      <c r="J205" s="217">
        <v>0</v>
      </c>
      <c r="K205" s="217">
        <v>0</v>
      </c>
      <c r="L205" s="217">
        <f t="shared" si="13"/>
        <v>15883.4</v>
      </c>
      <c r="M205" s="220">
        <f t="shared" si="18"/>
        <v>242.49465648854962</v>
      </c>
      <c r="N205" s="202">
        <v>0</v>
      </c>
      <c r="O205" s="235">
        <v>0</v>
      </c>
      <c r="P205" s="205">
        <f t="shared" si="17"/>
        <v>242.49465648854962</v>
      </c>
      <c r="Q205" s="205">
        <v>0</v>
      </c>
      <c r="R205" s="205">
        <f t="shared" si="19"/>
        <v>242.49465648854962</v>
      </c>
    </row>
    <row r="206" spans="2:18" ht="38.1" customHeight="1" x14ac:dyDescent="0.3">
      <c r="B206" s="257" t="s">
        <v>1086</v>
      </c>
      <c r="C206" s="1179" t="s">
        <v>189</v>
      </c>
      <c r="D206" s="1179"/>
      <c r="E206" s="1179"/>
      <c r="F206" s="1180"/>
      <c r="G206" s="211">
        <v>0</v>
      </c>
      <c r="H206" s="211">
        <v>12759800</v>
      </c>
      <c r="I206" s="211">
        <v>0</v>
      </c>
      <c r="J206" s="211">
        <v>0</v>
      </c>
      <c r="K206" s="211">
        <v>0</v>
      </c>
      <c r="L206" s="211">
        <f t="shared" ref="L206:L216" si="20">+H206-K206</f>
        <v>12759800</v>
      </c>
      <c r="M206" s="213">
        <f t="shared" si="18"/>
        <v>194806.10687022901</v>
      </c>
      <c r="N206" s="201">
        <v>0</v>
      </c>
      <c r="O206" s="234">
        <v>0</v>
      </c>
      <c r="P206" s="203">
        <f t="shared" si="17"/>
        <v>194806.10687022901</v>
      </c>
      <c r="Q206" s="203">
        <f>+P206/2</f>
        <v>97403.053435114503</v>
      </c>
      <c r="R206" s="203">
        <f t="shared" si="19"/>
        <v>97403.053435114503</v>
      </c>
    </row>
    <row r="207" spans="2:18" ht="38.1" customHeight="1" x14ac:dyDescent="0.3">
      <c r="B207" s="258" t="s">
        <v>1087</v>
      </c>
      <c r="C207" s="1187" t="s">
        <v>941</v>
      </c>
      <c r="D207" s="1187"/>
      <c r="E207" s="1187"/>
      <c r="F207" s="1188"/>
      <c r="G207" s="217">
        <v>0</v>
      </c>
      <c r="H207" s="217">
        <v>31767.439999999999</v>
      </c>
      <c r="I207" s="217">
        <v>0</v>
      </c>
      <c r="J207" s="217">
        <v>0</v>
      </c>
      <c r="K207" s="217">
        <v>0</v>
      </c>
      <c r="L207" s="217">
        <f t="shared" si="20"/>
        <v>31767.439999999999</v>
      </c>
      <c r="M207" s="220">
        <f t="shared" si="18"/>
        <v>484.99908396946563</v>
      </c>
      <c r="N207" s="202">
        <v>0</v>
      </c>
      <c r="O207" s="235">
        <v>0</v>
      </c>
      <c r="P207" s="205">
        <f t="shared" si="17"/>
        <v>484.99908396946563</v>
      </c>
      <c r="Q207" s="205">
        <v>485</v>
      </c>
      <c r="R207" s="205">
        <f t="shared" si="19"/>
        <v>-9.1603053436983828E-4</v>
      </c>
    </row>
    <row r="208" spans="2:18" ht="38.1" customHeight="1" x14ac:dyDescent="0.3">
      <c r="B208" s="580" t="s">
        <v>1088</v>
      </c>
      <c r="C208" s="1143" t="s">
        <v>1089</v>
      </c>
      <c r="D208" s="1143"/>
      <c r="E208" s="1143"/>
      <c r="F208" s="1144"/>
      <c r="G208" s="362" t="s">
        <v>758</v>
      </c>
      <c r="H208" s="362" t="s">
        <v>758</v>
      </c>
      <c r="I208" s="362" t="s">
        <v>758</v>
      </c>
      <c r="J208" s="362" t="s">
        <v>758</v>
      </c>
      <c r="K208" s="362" t="s">
        <v>758</v>
      </c>
      <c r="L208" s="362" t="s">
        <v>758</v>
      </c>
      <c r="M208" s="581">
        <v>0</v>
      </c>
      <c r="N208" s="368">
        <f>200000+175000</f>
        <v>375000</v>
      </c>
      <c r="O208" s="367">
        <v>0</v>
      </c>
      <c r="P208" s="364">
        <f t="shared" ref="P208" si="21">+M208+O208+N208</f>
        <v>375000</v>
      </c>
      <c r="Q208" s="364">
        <v>485</v>
      </c>
      <c r="R208" s="364">
        <f t="shared" ref="R208" si="22">+P208-Q208</f>
        <v>374515</v>
      </c>
    </row>
    <row r="209" spans="2:18" ht="38.1" customHeight="1" x14ac:dyDescent="0.3">
      <c r="B209" s="348" t="s">
        <v>1090</v>
      </c>
      <c r="C209" s="1189" t="s">
        <v>196</v>
      </c>
      <c r="D209" s="1189"/>
      <c r="E209" s="1189"/>
      <c r="F209" s="1190"/>
      <c r="G209" s="260">
        <v>0</v>
      </c>
      <c r="H209" s="260">
        <v>9136016.8000000007</v>
      </c>
      <c r="I209" s="260">
        <v>2562271.83</v>
      </c>
      <c r="J209" s="260">
        <v>638959.11</v>
      </c>
      <c r="K209" s="260">
        <v>430138.6</v>
      </c>
      <c r="L209" s="260">
        <f t="shared" si="20"/>
        <v>8705878.2000000011</v>
      </c>
      <c r="M209" s="262">
        <f t="shared" si="18"/>
        <v>132914.17099236642</v>
      </c>
      <c r="N209" s="343">
        <f>+-(SUM(O210:O215))</f>
        <v>1508607.33</v>
      </c>
      <c r="O209" s="265">
        <v>-1608969.85</v>
      </c>
      <c r="P209" s="263">
        <f>+M209+O209+N209</f>
        <v>32551.650992366485</v>
      </c>
      <c r="Q209" s="263">
        <v>0</v>
      </c>
      <c r="R209" s="263">
        <f t="shared" si="19"/>
        <v>32551.650992366485</v>
      </c>
    </row>
    <row r="210" spans="2:18" ht="38.1" customHeight="1" x14ac:dyDescent="0.3">
      <c r="B210" s="259" t="s">
        <v>1091</v>
      </c>
      <c r="C210" s="1150" t="s">
        <v>196</v>
      </c>
      <c r="D210" s="1150"/>
      <c r="E210" s="1150"/>
      <c r="F210" s="1151"/>
      <c r="G210" s="260">
        <v>0</v>
      </c>
      <c r="H210" s="260">
        <v>4529729</v>
      </c>
      <c r="I210" s="260">
        <v>0</v>
      </c>
      <c r="J210" s="260">
        <v>0</v>
      </c>
      <c r="K210" s="260">
        <v>0</v>
      </c>
      <c r="L210" s="260">
        <f t="shared" si="20"/>
        <v>4529729</v>
      </c>
      <c r="M210" s="262">
        <f t="shared" si="18"/>
        <v>69156.167938931292</v>
      </c>
      <c r="N210" s="264">
        <v>0</v>
      </c>
      <c r="O210" s="265">
        <v>-69156.17</v>
      </c>
      <c r="P210" s="263">
        <f t="shared" si="17"/>
        <v>-2.0610687060980126E-3</v>
      </c>
      <c r="Q210" s="263">
        <v>0</v>
      </c>
      <c r="R210" s="263">
        <f t="shared" si="19"/>
        <v>-2.0610687060980126E-3</v>
      </c>
    </row>
    <row r="211" spans="2:18" ht="38.1" customHeight="1" x14ac:dyDescent="0.3">
      <c r="B211" s="259" t="s">
        <v>1092</v>
      </c>
      <c r="C211" s="1150" t="s">
        <v>196</v>
      </c>
      <c r="D211" s="1150"/>
      <c r="E211" s="1150"/>
      <c r="F211" s="1151"/>
      <c r="G211" s="260">
        <v>0</v>
      </c>
      <c r="H211" s="260">
        <v>7623419.0700000003</v>
      </c>
      <c r="I211" s="260">
        <v>0</v>
      </c>
      <c r="J211" s="260">
        <v>0</v>
      </c>
      <c r="K211" s="260">
        <v>0</v>
      </c>
      <c r="L211" s="260">
        <f t="shared" si="20"/>
        <v>7623419.0700000003</v>
      </c>
      <c r="M211" s="262">
        <f t="shared" si="18"/>
        <v>116388.07740458015</v>
      </c>
      <c r="N211" s="264">
        <v>0</v>
      </c>
      <c r="O211" s="265">
        <v>-116388.08</v>
      </c>
      <c r="P211" s="263">
        <f t="shared" si="17"/>
        <v>-2.595419849967584E-3</v>
      </c>
      <c r="Q211" s="263">
        <v>0</v>
      </c>
      <c r="R211" s="263">
        <f t="shared" si="19"/>
        <v>-2.595419849967584E-3</v>
      </c>
    </row>
    <row r="212" spans="2:18" ht="38.1" customHeight="1" x14ac:dyDescent="0.3">
      <c r="B212" s="259" t="s">
        <v>1093</v>
      </c>
      <c r="C212" s="1150" t="s">
        <v>196</v>
      </c>
      <c r="D212" s="1150"/>
      <c r="E212" s="1150"/>
      <c r="F212" s="1151"/>
      <c r="G212" s="260">
        <v>0</v>
      </c>
      <c r="H212" s="260">
        <v>7759642.6900000004</v>
      </c>
      <c r="I212" s="260">
        <v>0</v>
      </c>
      <c r="J212" s="260">
        <v>0</v>
      </c>
      <c r="K212" s="260">
        <v>0</v>
      </c>
      <c r="L212" s="260">
        <f t="shared" si="20"/>
        <v>7759642.6900000004</v>
      </c>
      <c r="M212" s="262">
        <f t="shared" si="18"/>
        <v>118467.82732824428</v>
      </c>
      <c r="N212" s="264">
        <v>0</v>
      </c>
      <c r="O212" s="265">
        <v>-118467.83</v>
      </c>
      <c r="P212" s="263">
        <f t="shared" si="17"/>
        <v>-2.6717557193478569E-3</v>
      </c>
      <c r="Q212" s="263">
        <v>0</v>
      </c>
      <c r="R212" s="263">
        <f t="shared" si="19"/>
        <v>-2.6717557193478569E-3</v>
      </c>
    </row>
    <row r="213" spans="2:18" ht="38.1" customHeight="1" x14ac:dyDescent="0.3">
      <c r="B213" s="259" t="s">
        <v>1094</v>
      </c>
      <c r="C213" s="1150" t="s">
        <v>196</v>
      </c>
      <c r="D213" s="1150"/>
      <c r="E213" s="1150"/>
      <c r="F213" s="1151"/>
      <c r="G213" s="260">
        <v>0</v>
      </c>
      <c r="H213" s="260">
        <v>29674190.879999999</v>
      </c>
      <c r="I213" s="260">
        <v>0</v>
      </c>
      <c r="J213" s="260">
        <v>0</v>
      </c>
      <c r="K213" s="260">
        <v>0</v>
      </c>
      <c r="L213" s="260">
        <f t="shared" si="20"/>
        <v>29674190.879999999</v>
      </c>
      <c r="M213" s="262">
        <f t="shared" si="18"/>
        <v>453041.08213740459</v>
      </c>
      <c r="N213" s="264">
        <v>0</v>
      </c>
      <c r="O213" s="265">
        <v>-453041.08</v>
      </c>
      <c r="P213" s="263">
        <f t="shared" si="17"/>
        <v>2.1374045754782856E-3</v>
      </c>
      <c r="Q213" s="263">
        <v>0</v>
      </c>
      <c r="R213" s="263">
        <f t="shared" si="19"/>
        <v>2.1374045754782856E-3</v>
      </c>
    </row>
    <row r="214" spans="2:18" ht="38.1" customHeight="1" x14ac:dyDescent="0.3">
      <c r="B214" s="259" t="s">
        <v>1095</v>
      </c>
      <c r="C214" s="1150" t="s">
        <v>196</v>
      </c>
      <c r="D214" s="1150"/>
      <c r="E214" s="1150"/>
      <c r="F214" s="1151"/>
      <c r="G214" s="260">
        <v>0</v>
      </c>
      <c r="H214" s="260">
        <v>28355337.949999999</v>
      </c>
      <c r="I214" s="260">
        <v>0</v>
      </c>
      <c r="J214" s="260">
        <v>0</v>
      </c>
      <c r="K214" s="260">
        <v>0</v>
      </c>
      <c r="L214" s="260">
        <f t="shared" si="20"/>
        <v>28355337.949999999</v>
      </c>
      <c r="M214" s="262">
        <f t="shared" si="18"/>
        <v>432905.92290076334</v>
      </c>
      <c r="N214" s="264">
        <v>0</v>
      </c>
      <c r="O214" s="265">
        <v>-432905.92</v>
      </c>
      <c r="P214" s="263">
        <f t="shared" si="17"/>
        <v>2.9007633565925062E-3</v>
      </c>
      <c r="Q214" s="263">
        <v>0</v>
      </c>
      <c r="R214" s="263">
        <f t="shared" si="19"/>
        <v>2.9007633565925062E-3</v>
      </c>
    </row>
    <row r="215" spans="2:18" ht="38.1" customHeight="1" thickBot="1" x14ac:dyDescent="0.35">
      <c r="B215" s="259" t="s">
        <v>1096</v>
      </c>
      <c r="C215" s="1150" t="s">
        <v>196</v>
      </c>
      <c r="D215" s="1150"/>
      <c r="E215" s="1150"/>
      <c r="F215" s="1151"/>
      <c r="G215" s="260">
        <v>0</v>
      </c>
      <c r="H215" s="260">
        <v>20871460.059999999</v>
      </c>
      <c r="I215" s="260">
        <v>0</v>
      </c>
      <c r="J215" s="260">
        <v>0</v>
      </c>
      <c r="K215" s="260">
        <v>0</v>
      </c>
      <c r="L215" s="260">
        <f t="shared" si="20"/>
        <v>20871460.059999999</v>
      </c>
      <c r="M215" s="262">
        <f t="shared" si="18"/>
        <v>318648.24519083969</v>
      </c>
      <c r="N215" s="335">
        <v>0</v>
      </c>
      <c r="O215" s="336">
        <v>-318648.25</v>
      </c>
      <c r="P215" s="337">
        <f t="shared" si="17"/>
        <v>-4.8091603093780577E-3</v>
      </c>
      <c r="Q215" s="337">
        <v>0</v>
      </c>
      <c r="R215" s="337">
        <f t="shared" si="19"/>
        <v>-4.8091603093780577E-3</v>
      </c>
    </row>
    <row r="216" spans="2:18" ht="16.2" thickBot="1" x14ac:dyDescent="0.35">
      <c r="B216" s="1181" t="s">
        <v>273</v>
      </c>
      <c r="C216" s="1181"/>
      <c r="D216" s="1181"/>
      <c r="E216" s="1181"/>
      <c r="F216" s="1181"/>
      <c r="G216" s="229"/>
      <c r="H216" s="230">
        <f>+SUM(H195,H181,H167,H154,H143,H131,H117,H109,H96,H89,H85,H81,H76,H35,H33,H5,H3)</f>
        <v>1069342018.61</v>
      </c>
      <c r="I216" s="230">
        <f t="shared" ref="I216:Q216" si="23">+SUM(I195,I181,I167,I154,I143,I131,I117,I109,I96,I89,I85,I81,I76,I35,I33,I5,I3)</f>
        <v>55936681.759999998</v>
      </c>
      <c r="J216" s="230">
        <f t="shared" si="23"/>
        <v>30488661.050000001</v>
      </c>
      <c r="K216" s="230">
        <f t="shared" si="23"/>
        <v>25698616.190000001</v>
      </c>
      <c r="L216" s="230">
        <f t="shared" si="20"/>
        <v>1043643402.42</v>
      </c>
      <c r="M216" s="231">
        <f t="shared" si="23"/>
        <v>15623928.896335877</v>
      </c>
      <c r="N216" s="332">
        <f t="shared" si="23"/>
        <v>6673079.4400000004</v>
      </c>
      <c r="O216" s="333">
        <f t="shared" si="23"/>
        <v>-7647020.7400000012</v>
      </c>
      <c r="P216" s="334">
        <f t="shared" si="23"/>
        <v>14653992.507938931</v>
      </c>
      <c r="Q216" s="334">
        <f t="shared" si="23"/>
        <v>9512176.6433206126</v>
      </c>
      <c r="R216" s="334">
        <f t="shared" si="19"/>
        <v>5141815.8646183182</v>
      </c>
    </row>
    <row r="217" spans="2:18" x14ac:dyDescent="0.3">
      <c r="N217" s="1145"/>
      <c r="O217" s="1146"/>
      <c r="Q217" s="415"/>
    </row>
    <row r="218" spans="2:18" ht="16.2" thickBot="1" x14ac:dyDescent="0.35">
      <c r="O218" s="344"/>
    </row>
    <row r="219" spans="2:18" ht="18" x14ac:dyDescent="0.3">
      <c r="B219" s="1140" t="s">
        <v>1097</v>
      </c>
      <c r="C219" s="1141"/>
      <c r="D219" s="1142"/>
      <c r="O219" s="345"/>
    </row>
    <row r="220" spans="2:18" x14ac:dyDescent="0.3">
      <c r="B220" s="574"/>
      <c r="C220" s="578" t="s">
        <v>1098</v>
      </c>
      <c r="D220" s="575"/>
      <c r="O220" s="345"/>
    </row>
    <row r="221" spans="2:18" ht="16.2" thickBot="1" x14ac:dyDescent="0.35">
      <c r="B221" s="576"/>
      <c r="C221" s="579" t="s">
        <v>1099</v>
      </c>
      <c r="D221" s="577"/>
    </row>
    <row r="222" spans="2:18" x14ac:dyDescent="0.3">
      <c r="N222" s="1147"/>
      <c r="O222" s="1148"/>
    </row>
  </sheetData>
  <mergeCells count="220">
    <mergeCell ref="B216:F216"/>
    <mergeCell ref="L1:M1"/>
    <mergeCell ref="N1:P1"/>
    <mergeCell ref="C210:F210"/>
    <mergeCell ref="C211:F211"/>
    <mergeCell ref="C212:F212"/>
    <mergeCell ref="C213:F213"/>
    <mergeCell ref="C214:F214"/>
    <mergeCell ref="C215:F215"/>
    <mergeCell ref="C203:F203"/>
    <mergeCell ref="C204:F204"/>
    <mergeCell ref="C205:F205"/>
    <mergeCell ref="C206:F206"/>
    <mergeCell ref="C207:F207"/>
    <mergeCell ref="C209:F209"/>
    <mergeCell ref="C197:F197"/>
    <mergeCell ref="C198:F198"/>
    <mergeCell ref="C199:F199"/>
    <mergeCell ref="C200:F200"/>
    <mergeCell ref="C201:F201"/>
    <mergeCell ref="C202:F202"/>
    <mergeCell ref="C191:F191"/>
    <mergeCell ref="C192:F192"/>
    <mergeCell ref="C193:F193"/>
    <mergeCell ref="C194:F194"/>
    <mergeCell ref="B195:F195"/>
    <mergeCell ref="C196:F196"/>
    <mergeCell ref="C185:F185"/>
    <mergeCell ref="C186:F186"/>
    <mergeCell ref="C187:F187"/>
    <mergeCell ref="C188:F188"/>
    <mergeCell ref="C189:F189"/>
    <mergeCell ref="C190:F190"/>
    <mergeCell ref="C178:F178"/>
    <mergeCell ref="C179:F179"/>
    <mergeCell ref="B181:F181"/>
    <mergeCell ref="C182:F182"/>
    <mergeCell ref="C183:F183"/>
    <mergeCell ref="C184:F184"/>
    <mergeCell ref="C172:F172"/>
    <mergeCell ref="C173:F173"/>
    <mergeCell ref="C174:F174"/>
    <mergeCell ref="C175:F175"/>
    <mergeCell ref="C176:F176"/>
    <mergeCell ref="C177:F177"/>
    <mergeCell ref="C180:F180"/>
    <mergeCell ref="C166:F166"/>
    <mergeCell ref="B167:F167"/>
    <mergeCell ref="C168:F168"/>
    <mergeCell ref="C169:F169"/>
    <mergeCell ref="C170:F170"/>
    <mergeCell ref="C171:F171"/>
    <mergeCell ref="C160:F160"/>
    <mergeCell ref="C161:F161"/>
    <mergeCell ref="C162:F162"/>
    <mergeCell ref="C163:F163"/>
    <mergeCell ref="C164:F164"/>
    <mergeCell ref="C165:F165"/>
    <mergeCell ref="B154:F154"/>
    <mergeCell ref="C155:F155"/>
    <mergeCell ref="C156:F156"/>
    <mergeCell ref="C157:F157"/>
    <mergeCell ref="C158:F158"/>
    <mergeCell ref="C159:F159"/>
    <mergeCell ref="C148:F148"/>
    <mergeCell ref="C149:F149"/>
    <mergeCell ref="C150:F150"/>
    <mergeCell ref="C151:F151"/>
    <mergeCell ref="C152:F152"/>
    <mergeCell ref="C153:F153"/>
    <mergeCell ref="C142:F142"/>
    <mergeCell ref="B143:F143"/>
    <mergeCell ref="C144:F144"/>
    <mergeCell ref="C145:F145"/>
    <mergeCell ref="C146:F146"/>
    <mergeCell ref="C147:F147"/>
    <mergeCell ref="C136:F136"/>
    <mergeCell ref="C137:F137"/>
    <mergeCell ref="C138:F138"/>
    <mergeCell ref="C139:F139"/>
    <mergeCell ref="C140:F140"/>
    <mergeCell ref="C141:F141"/>
    <mergeCell ref="C130:F130"/>
    <mergeCell ref="B131:F131"/>
    <mergeCell ref="C132:F132"/>
    <mergeCell ref="C133:F133"/>
    <mergeCell ref="C134:F134"/>
    <mergeCell ref="C135:F135"/>
    <mergeCell ref="C124:F124"/>
    <mergeCell ref="C125:F125"/>
    <mergeCell ref="C126:F126"/>
    <mergeCell ref="C127:F127"/>
    <mergeCell ref="C128:F128"/>
    <mergeCell ref="C129:F129"/>
    <mergeCell ref="C118:F118"/>
    <mergeCell ref="C119:F119"/>
    <mergeCell ref="C120:F120"/>
    <mergeCell ref="C121:F121"/>
    <mergeCell ref="C122:F122"/>
    <mergeCell ref="C123:F123"/>
    <mergeCell ref="C112:F112"/>
    <mergeCell ref="C113:F113"/>
    <mergeCell ref="C114:F114"/>
    <mergeCell ref="C115:F115"/>
    <mergeCell ref="C116:F116"/>
    <mergeCell ref="B117:F117"/>
    <mergeCell ref="C105:F105"/>
    <mergeCell ref="C106:F106"/>
    <mergeCell ref="C107:F107"/>
    <mergeCell ref="B109:F109"/>
    <mergeCell ref="C110:F110"/>
    <mergeCell ref="C111:F111"/>
    <mergeCell ref="C99:F99"/>
    <mergeCell ref="C100:F100"/>
    <mergeCell ref="C101:F101"/>
    <mergeCell ref="C102:F102"/>
    <mergeCell ref="C103:F103"/>
    <mergeCell ref="C104:F104"/>
    <mergeCell ref="C108:F108"/>
    <mergeCell ref="C93:F93"/>
    <mergeCell ref="C94:F94"/>
    <mergeCell ref="C95:F95"/>
    <mergeCell ref="B96:F96"/>
    <mergeCell ref="C97:F97"/>
    <mergeCell ref="C98:F98"/>
    <mergeCell ref="C87:F87"/>
    <mergeCell ref="C88:F88"/>
    <mergeCell ref="B89:F89"/>
    <mergeCell ref="C90:F90"/>
    <mergeCell ref="C91:F91"/>
    <mergeCell ref="C92:F92"/>
    <mergeCell ref="B81:F81"/>
    <mergeCell ref="C82:F82"/>
    <mergeCell ref="C83:F83"/>
    <mergeCell ref="C84:F84"/>
    <mergeCell ref="B85:F85"/>
    <mergeCell ref="C86:F86"/>
    <mergeCell ref="C75:F75"/>
    <mergeCell ref="B76:F76"/>
    <mergeCell ref="C77:F77"/>
    <mergeCell ref="C78:F78"/>
    <mergeCell ref="C79:F79"/>
    <mergeCell ref="C80:F80"/>
    <mergeCell ref="C69:F69"/>
    <mergeCell ref="C70:F70"/>
    <mergeCell ref="C71:F71"/>
    <mergeCell ref="C72:F72"/>
    <mergeCell ref="C73:F73"/>
    <mergeCell ref="C74:F74"/>
    <mergeCell ref="C63:F63"/>
    <mergeCell ref="C64:F64"/>
    <mergeCell ref="C65:F65"/>
    <mergeCell ref="C66:F66"/>
    <mergeCell ref="C67:F67"/>
    <mergeCell ref="C68:F68"/>
    <mergeCell ref="C57:F57"/>
    <mergeCell ref="C58:F58"/>
    <mergeCell ref="C59:F59"/>
    <mergeCell ref="C60:F60"/>
    <mergeCell ref="C61:F61"/>
    <mergeCell ref="C62:F62"/>
    <mergeCell ref="C51:F51"/>
    <mergeCell ref="C52:F52"/>
    <mergeCell ref="C53:F53"/>
    <mergeCell ref="C54:F54"/>
    <mergeCell ref="C55:F55"/>
    <mergeCell ref="C56:F56"/>
    <mergeCell ref="C46:F46"/>
    <mergeCell ref="C47:F47"/>
    <mergeCell ref="C48:F48"/>
    <mergeCell ref="C49:F49"/>
    <mergeCell ref="C50:F50"/>
    <mergeCell ref="C39:F39"/>
    <mergeCell ref="C40:F40"/>
    <mergeCell ref="C41:F41"/>
    <mergeCell ref="C42:F42"/>
    <mergeCell ref="C43:F43"/>
    <mergeCell ref="C44:F44"/>
    <mergeCell ref="C37:F37"/>
    <mergeCell ref="C38:F38"/>
    <mergeCell ref="C27:F27"/>
    <mergeCell ref="C28:F28"/>
    <mergeCell ref="C29:F29"/>
    <mergeCell ref="C30:F30"/>
    <mergeCell ref="C31:F31"/>
    <mergeCell ref="C32:F32"/>
    <mergeCell ref="C45:F45"/>
    <mergeCell ref="C16:F16"/>
    <mergeCell ref="C17:F17"/>
    <mergeCell ref="C18:F18"/>
    <mergeCell ref="C19:F19"/>
    <mergeCell ref="C20:F20"/>
    <mergeCell ref="B33:F33"/>
    <mergeCell ref="C34:F34"/>
    <mergeCell ref="B35:F35"/>
    <mergeCell ref="C36:F36"/>
    <mergeCell ref="B219:D219"/>
    <mergeCell ref="C208:F208"/>
    <mergeCell ref="N217:O217"/>
    <mergeCell ref="N222:O222"/>
    <mergeCell ref="B2:F2"/>
    <mergeCell ref="C9:F9"/>
    <mergeCell ref="C10:F10"/>
    <mergeCell ref="C11:F11"/>
    <mergeCell ref="C12:F12"/>
    <mergeCell ref="C13:F13"/>
    <mergeCell ref="C14:F14"/>
    <mergeCell ref="B3:F3"/>
    <mergeCell ref="C4:F4"/>
    <mergeCell ref="B5:F5"/>
    <mergeCell ref="C6:F6"/>
    <mergeCell ref="C7:F7"/>
    <mergeCell ref="C8:F8"/>
    <mergeCell ref="C21:F21"/>
    <mergeCell ref="C22:F22"/>
    <mergeCell ref="C23:F23"/>
    <mergeCell ref="C24:F24"/>
    <mergeCell ref="C25:F25"/>
    <mergeCell ref="C26:F26"/>
    <mergeCell ref="C15:F1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E9C6-EF87-4BB1-8A23-E4A872024DC0}">
  <dimension ref="A2:H55"/>
  <sheetViews>
    <sheetView workbookViewId="0"/>
    <sheetView workbookViewId="1"/>
  </sheetViews>
  <sheetFormatPr baseColWidth="10" defaultColWidth="11.44140625" defaultRowHeight="14.4" x14ac:dyDescent="0.3"/>
  <cols>
    <col min="2" max="2" width="32.33203125" customWidth="1"/>
    <col min="3" max="3" width="76" bestFit="1" customWidth="1"/>
    <col min="4" max="4" width="23.88671875" style="21" customWidth="1"/>
    <col min="5" max="5" width="20.6640625" customWidth="1"/>
    <col min="6" max="6" width="75.33203125" style="1" customWidth="1"/>
    <col min="7" max="7" width="19.88671875" customWidth="1"/>
    <col min="8" max="8" width="17" customWidth="1"/>
  </cols>
  <sheetData>
    <row r="2" spans="1:8" s="4" customFormat="1" x14ac:dyDescent="0.3">
      <c r="B2" s="94" t="s">
        <v>1100</v>
      </c>
      <c r="C2" s="94" t="s">
        <v>1101</v>
      </c>
      <c r="D2" s="94" t="s">
        <v>1102</v>
      </c>
      <c r="E2" s="94" t="s">
        <v>1103</v>
      </c>
      <c r="F2" s="164" t="s">
        <v>1104</v>
      </c>
      <c r="G2" s="94" t="s">
        <v>1105</v>
      </c>
      <c r="H2" s="94" t="s">
        <v>1106</v>
      </c>
    </row>
    <row r="3" spans="1:8" x14ac:dyDescent="0.3">
      <c r="A3" s="358"/>
      <c r="B3" s="349" t="s">
        <v>1107</v>
      </c>
      <c r="C3" s="349" t="s">
        <v>62</v>
      </c>
      <c r="D3" s="350" t="s">
        <v>1108</v>
      </c>
      <c r="E3" s="350" t="s">
        <v>1109</v>
      </c>
      <c r="F3" s="351" t="s">
        <v>386</v>
      </c>
      <c r="G3" s="352">
        <v>50000</v>
      </c>
      <c r="H3" s="353"/>
    </row>
    <row r="4" spans="1:8" x14ac:dyDescent="0.3">
      <c r="A4" s="358"/>
      <c r="B4" s="165" t="s">
        <v>1110</v>
      </c>
      <c r="C4" s="165" t="s">
        <v>1111</v>
      </c>
      <c r="D4" s="166" t="s">
        <v>1108</v>
      </c>
      <c r="E4" s="166" t="s">
        <v>1109</v>
      </c>
      <c r="F4" s="167" t="s">
        <v>386</v>
      </c>
      <c r="G4" s="172">
        <v>28400</v>
      </c>
      <c r="H4" s="160"/>
    </row>
    <row r="5" spans="1:8" ht="43.2" x14ac:dyDescent="0.3">
      <c r="A5" s="358"/>
      <c r="B5" s="349" t="s">
        <v>1112</v>
      </c>
      <c r="C5" s="349" t="s">
        <v>210</v>
      </c>
      <c r="D5" s="350" t="s">
        <v>1108</v>
      </c>
      <c r="E5" s="350" t="s">
        <v>1109</v>
      </c>
      <c r="F5" s="351" t="s">
        <v>1113</v>
      </c>
      <c r="G5" s="352">
        <v>350000</v>
      </c>
      <c r="H5" s="353"/>
    </row>
    <row r="6" spans="1:8" x14ac:dyDescent="0.3">
      <c r="A6" s="358"/>
      <c r="B6" s="165" t="s">
        <v>1114</v>
      </c>
      <c r="C6" s="165" t="s">
        <v>1115</v>
      </c>
      <c r="D6" s="166" t="s">
        <v>1116</v>
      </c>
      <c r="E6" s="166" t="s">
        <v>1109</v>
      </c>
      <c r="F6" s="167" t="s">
        <v>386</v>
      </c>
      <c r="G6" s="172">
        <v>110378</v>
      </c>
      <c r="H6" s="160"/>
    </row>
    <row r="7" spans="1:8" x14ac:dyDescent="0.3">
      <c r="A7" s="358"/>
      <c r="B7" s="349" t="s">
        <v>1117</v>
      </c>
      <c r="C7" s="349" t="s">
        <v>1118</v>
      </c>
      <c r="D7" s="350" t="s">
        <v>1116</v>
      </c>
      <c r="E7" s="350" t="s">
        <v>1109</v>
      </c>
      <c r="F7" s="351" t="s">
        <v>296</v>
      </c>
      <c r="G7" s="352">
        <v>10000</v>
      </c>
      <c r="H7" s="353"/>
    </row>
    <row r="8" spans="1:8" ht="28.8" x14ac:dyDescent="0.3">
      <c r="A8" s="358"/>
      <c r="B8" s="165" t="s">
        <v>1119</v>
      </c>
      <c r="C8" s="168" t="s">
        <v>1120</v>
      </c>
      <c r="D8" s="166" t="s">
        <v>1116</v>
      </c>
      <c r="E8" s="169" t="s">
        <v>1109</v>
      </c>
      <c r="F8" s="167" t="s">
        <v>351</v>
      </c>
      <c r="G8" s="172">
        <v>1000000</v>
      </c>
      <c r="H8" s="160"/>
    </row>
    <row r="9" spans="1:8" x14ac:dyDescent="0.3">
      <c r="A9" s="358"/>
      <c r="B9" s="349" t="s">
        <v>1121</v>
      </c>
      <c r="C9" s="349" t="s">
        <v>32</v>
      </c>
      <c r="D9" s="350" t="s">
        <v>1116</v>
      </c>
      <c r="E9" s="350" t="s">
        <v>1109</v>
      </c>
      <c r="F9" s="351" t="s">
        <v>315</v>
      </c>
      <c r="G9" s="352">
        <v>130000</v>
      </c>
      <c r="H9" s="353"/>
    </row>
    <row r="10" spans="1:8" ht="28.8" x14ac:dyDescent="0.3">
      <c r="A10" s="358"/>
      <c r="B10" s="165" t="s">
        <v>1122</v>
      </c>
      <c r="C10" s="165" t="s">
        <v>168</v>
      </c>
      <c r="D10" s="166" t="s">
        <v>1116</v>
      </c>
      <c r="E10" s="166" t="s">
        <v>1123</v>
      </c>
      <c r="F10" s="167" t="s">
        <v>420</v>
      </c>
      <c r="G10" s="172">
        <v>200000</v>
      </c>
      <c r="H10" s="160"/>
    </row>
    <row r="11" spans="1:8" ht="28.8" x14ac:dyDescent="0.3">
      <c r="A11" s="358"/>
      <c r="B11" s="349" t="s">
        <v>1124</v>
      </c>
      <c r="C11" s="349" t="s">
        <v>1125</v>
      </c>
      <c r="D11" s="350" t="s">
        <v>1116</v>
      </c>
      <c r="E11" s="350" t="s">
        <v>1126</v>
      </c>
      <c r="F11" s="351" t="s">
        <v>432</v>
      </c>
      <c r="G11" s="352">
        <v>55000</v>
      </c>
      <c r="H11" s="353"/>
    </row>
    <row r="12" spans="1:8" ht="28.8" x14ac:dyDescent="0.3">
      <c r="A12" s="358"/>
      <c r="B12" s="165" t="s">
        <v>1127</v>
      </c>
      <c r="C12" s="165" t="s">
        <v>1128</v>
      </c>
      <c r="D12" s="166" t="s">
        <v>1116</v>
      </c>
      <c r="E12" s="166" t="s">
        <v>1126</v>
      </c>
      <c r="F12" s="167" t="s">
        <v>432</v>
      </c>
      <c r="G12" s="172">
        <v>25000</v>
      </c>
      <c r="H12" s="160"/>
    </row>
    <row r="13" spans="1:8" ht="28.8" x14ac:dyDescent="0.3">
      <c r="A13" s="358"/>
      <c r="B13" s="349" t="s">
        <v>1129</v>
      </c>
      <c r="C13" s="349" t="s">
        <v>201</v>
      </c>
      <c r="D13" s="350" t="s">
        <v>1116</v>
      </c>
      <c r="E13" s="350" t="s">
        <v>1126</v>
      </c>
      <c r="F13" s="351" t="s">
        <v>432</v>
      </c>
      <c r="G13" s="352">
        <v>30000</v>
      </c>
      <c r="H13" s="353"/>
    </row>
    <row r="14" spans="1:8" ht="28.8" x14ac:dyDescent="0.3">
      <c r="A14" s="358"/>
      <c r="B14" s="165" t="s">
        <v>1130</v>
      </c>
      <c r="C14" s="165" t="s">
        <v>202</v>
      </c>
      <c r="D14" s="166" t="s">
        <v>1116</v>
      </c>
      <c r="E14" s="166" t="s">
        <v>1126</v>
      </c>
      <c r="F14" s="167" t="s">
        <v>432</v>
      </c>
      <c r="G14" s="172">
        <v>30000</v>
      </c>
      <c r="H14" s="160"/>
    </row>
    <row r="15" spans="1:8" ht="28.8" x14ac:dyDescent="0.3">
      <c r="A15" s="358"/>
      <c r="B15" s="349" t="s">
        <v>1131</v>
      </c>
      <c r="C15" s="349" t="s">
        <v>205</v>
      </c>
      <c r="D15" s="350" t="s">
        <v>1116</v>
      </c>
      <c r="E15" s="350" t="s">
        <v>1132</v>
      </c>
      <c r="F15" s="351" t="s">
        <v>432</v>
      </c>
      <c r="G15" s="352">
        <v>280000</v>
      </c>
      <c r="H15" s="353"/>
    </row>
    <row r="16" spans="1:8" ht="28.8" x14ac:dyDescent="0.3">
      <c r="A16" s="358"/>
      <c r="B16" s="165" t="s">
        <v>1133</v>
      </c>
      <c r="C16" s="165" t="s">
        <v>177</v>
      </c>
      <c r="D16" s="166" t="s">
        <v>1116</v>
      </c>
      <c r="E16" s="166" t="s">
        <v>1134</v>
      </c>
      <c r="F16" s="167" t="s">
        <v>386</v>
      </c>
      <c r="G16" s="172">
        <v>35000</v>
      </c>
      <c r="H16" s="160"/>
    </row>
    <row r="17" spans="1:8" ht="28.8" x14ac:dyDescent="0.3">
      <c r="A17" s="358"/>
      <c r="B17" s="349" t="s">
        <v>1135</v>
      </c>
      <c r="C17" s="349" t="s">
        <v>178</v>
      </c>
      <c r="D17" s="350" t="s">
        <v>1116</v>
      </c>
      <c r="E17" s="350" t="s">
        <v>1134</v>
      </c>
      <c r="F17" s="351" t="s">
        <v>386</v>
      </c>
      <c r="G17" s="352">
        <v>35000</v>
      </c>
      <c r="H17" s="353"/>
    </row>
    <row r="18" spans="1:8" ht="28.8" x14ac:dyDescent="0.3">
      <c r="A18" s="358"/>
      <c r="B18" s="165" t="s">
        <v>1136</v>
      </c>
      <c r="C18" s="165" t="s">
        <v>180</v>
      </c>
      <c r="D18" s="166" t="s">
        <v>1116</v>
      </c>
      <c r="E18" s="166" t="s">
        <v>1134</v>
      </c>
      <c r="F18" s="167" t="s">
        <v>386</v>
      </c>
      <c r="G18" s="172">
        <v>35000</v>
      </c>
      <c r="H18" s="160"/>
    </row>
    <row r="19" spans="1:8" ht="28.8" x14ac:dyDescent="0.3">
      <c r="A19" s="358"/>
      <c r="B19" s="349" t="s">
        <v>1137</v>
      </c>
      <c r="C19" s="349" t="s">
        <v>1138</v>
      </c>
      <c r="D19" s="350" t="s">
        <v>1116</v>
      </c>
      <c r="E19" s="350" t="s">
        <v>1134</v>
      </c>
      <c r="F19" s="351" t="s">
        <v>386</v>
      </c>
      <c r="G19" s="352">
        <v>50000</v>
      </c>
      <c r="H19" s="353"/>
    </row>
    <row r="20" spans="1:8" ht="28.8" x14ac:dyDescent="0.3">
      <c r="A20" s="358"/>
      <c r="B20" s="165" t="s">
        <v>1139</v>
      </c>
      <c r="C20" s="165" t="s">
        <v>165</v>
      </c>
      <c r="D20" s="166" t="s">
        <v>1116</v>
      </c>
      <c r="E20" s="166" t="s">
        <v>1140</v>
      </c>
      <c r="F20" s="167" t="s">
        <v>418</v>
      </c>
      <c r="G20" s="172">
        <v>330000</v>
      </c>
      <c r="H20" s="160"/>
    </row>
    <row r="21" spans="1:8" ht="43.2" x14ac:dyDescent="0.3">
      <c r="A21" s="358"/>
      <c r="B21" s="349" t="s">
        <v>1141</v>
      </c>
      <c r="C21" s="349" t="s">
        <v>1142</v>
      </c>
      <c r="D21" s="350" t="s">
        <v>1116</v>
      </c>
      <c r="E21" s="350" t="s">
        <v>1143</v>
      </c>
      <c r="F21" s="351" t="s">
        <v>360</v>
      </c>
      <c r="G21" s="352">
        <v>41666.67</v>
      </c>
      <c r="H21" s="353"/>
    </row>
    <row r="22" spans="1:8" ht="43.2" x14ac:dyDescent="0.3">
      <c r="A22" s="358"/>
      <c r="B22" s="165" t="s">
        <v>1144</v>
      </c>
      <c r="C22" s="165" t="s">
        <v>48</v>
      </c>
      <c r="D22" s="166" t="s">
        <v>1116</v>
      </c>
      <c r="E22" s="166" t="s">
        <v>1143</v>
      </c>
      <c r="F22" s="167" t="s">
        <v>360</v>
      </c>
      <c r="G22" s="172">
        <v>70000</v>
      </c>
      <c r="H22" s="160"/>
    </row>
    <row r="23" spans="1:8" x14ac:dyDescent="0.3">
      <c r="A23" s="358"/>
      <c r="B23" s="349" t="s">
        <v>1145</v>
      </c>
      <c r="C23" s="349" t="s">
        <v>44</v>
      </c>
      <c r="D23" s="350" t="s">
        <v>1116</v>
      </c>
      <c r="E23" s="350" t="s">
        <v>1143</v>
      </c>
      <c r="F23" s="351" t="s">
        <v>356</v>
      </c>
      <c r="G23" s="352">
        <v>33333.33</v>
      </c>
      <c r="H23" s="353"/>
    </row>
    <row r="24" spans="1:8" ht="27.6" x14ac:dyDescent="0.3">
      <c r="A24" s="358"/>
      <c r="B24" s="165" t="s">
        <v>1146</v>
      </c>
      <c r="C24" s="165" t="s">
        <v>171</v>
      </c>
      <c r="D24" s="166" t="s">
        <v>1116</v>
      </c>
      <c r="E24" s="166" t="s">
        <v>1147</v>
      </c>
      <c r="F24" s="170" t="s">
        <v>419</v>
      </c>
      <c r="G24" s="172">
        <v>40000</v>
      </c>
      <c r="H24" s="160"/>
    </row>
    <row r="25" spans="1:8" ht="28.8" x14ac:dyDescent="0.3">
      <c r="A25" s="358"/>
      <c r="B25" s="349" t="s">
        <v>1148</v>
      </c>
      <c r="C25" s="349" t="s">
        <v>172</v>
      </c>
      <c r="D25" s="350" t="s">
        <v>1116</v>
      </c>
      <c r="E25" s="350" t="s">
        <v>1147</v>
      </c>
      <c r="F25" s="351" t="s">
        <v>419</v>
      </c>
      <c r="G25" s="352">
        <v>200000</v>
      </c>
      <c r="H25" s="353"/>
    </row>
    <row r="26" spans="1:8" ht="28.8" x14ac:dyDescent="0.3">
      <c r="A26" s="358"/>
      <c r="B26" s="165" t="s">
        <v>1149</v>
      </c>
      <c r="C26" s="165" t="s">
        <v>174</v>
      </c>
      <c r="D26" s="166" t="s">
        <v>1116</v>
      </c>
      <c r="E26" s="166" t="s">
        <v>1147</v>
      </c>
      <c r="F26" s="170" t="s">
        <v>419</v>
      </c>
      <c r="G26" s="172">
        <v>200000</v>
      </c>
      <c r="H26" s="160"/>
    </row>
    <row r="27" spans="1:8" ht="28.8" x14ac:dyDescent="0.3">
      <c r="A27" s="358"/>
      <c r="B27" s="349" t="s">
        <v>1150</v>
      </c>
      <c r="C27" s="349" t="s">
        <v>176</v>
      </c>
      <c r="D27" s="350" t="s">
        <v>1116</v>
      </c>
      <c r="E27" s="350" t="s">
        <v>1147</v>
      </c>
      <c r="F27" s="351" t="s">
        <v>419</v>
      </c>
      <c r="G27" s="352">
        <v>200000</v>
      </c>
      <c r="H27" s="353"/>
    </row>
    <row r="28" spans="1:8" ht="28.8" x14ac:dyDescent="0.3">
      <c r="A28" s="358"/>
      <c r="B28" s="165" t="s">
        <v>1151</v>
      </c>
      <c r="C28" s="165" t="s">
        <v>227</v>
      </c>
      <c r="D28" s="166" t="s">
        <v>1116</v>
      </c>
      <c r="E28" s="166" t="s">
        <v>1152</v>
      </c>
      <c r="F28" s="167" t="s">
        <v>453</v>
      </c>
      <c r="G28" s="172">
        <v>100000</v>
      </c>
      <c r="H28" s="160"/>
    </row>
    <row r="29" spans="1:8" ht="28.8" x14ac:dyDescent="0.3">
      <c r="A29" s="358"/>
      <c r="B29" s="349" t="s">
        <v>1153</v>
      </c>
      <c r="C29" s="349" t="s">
        <v>226</v>
      </c>
      <c r="D29" s="350" t="s">
        <v>1116</v>
      </c>
      <c r="E29" s="350" t="s">
        <v>1152</v>
      </c>
      <c r="F29" s="351" t="s">
        <v>453</v>
      </c>
      <c r="G29" s="352">
        <v>45000</v>
      </c>
      <c r="H29" s="353"/>
    </row>
    <row r="30" spans="1:8" ht="28.8" x14ac:dyDescent="0.3">
      <c r="A30" s="358"/>
      <c r="B30" s="165" t="s">
        <v>1154</v>
      </c>
      <c r="C30" s="165" t="s">
        <v>1155</v>
      </c>
      <c r="D30" s="166" t="s">
        <v>1116</v>
      </c>
      <c r="E30" s="166" t="s">
        <v>1152</v>
      </c>
      <c r="F30" s="167" t="s">
        <v>386</v>
      </c>
      <c r="G30" s="172">
        <v>250000</v>
      </c>
      <c r="H30" s="160"/>
    </row>
    <row r="31" spans="1:8" x14ac:dyDescent="0.3">
      <c r="A31" s="358"/>
      <c r="B31" s="349" t="s">
        <v>1156</v>
      </c>
      <c r="C31" s="349" t="s">
        <v>224</v>
      </c>
      <c r="D31" s="350" t="s">
        <v>1116</v>
      </c>
      <c r="E31" s="350" t="s">
        <v>1152</v>
      </c>
      <c r="F31" s="351" t="s">
        <v>453</v>
      </c>
      <c r="G31" s="352">
        <v>150000</v>
      </c>
      <c r="H31" s="353"/>
    </row>
    <row r="32" spans="1:8" x14ac:dyDescent="0.3">
      <c r="A32" s="358"/>
      <c r="B32" s="165" t="s">
        <v>1157</v>
      </c>
      <c r="C32" s="165" t="s">
        <v>228</v>
      </c>
      <c r="D32" s="166" t="s">
        <v>1116</v>
      </c>
      <c r="E32" s="166" t="s">
        <v>1152</v>
      </c>
      <c r="F32" s="167" t="s">
        <v>453</v>
      </c>
      <c r="G32" s="172">
        <v>19200</v>
      </c>
      <c r="H32" s="160"/>
    </row>
    <row r="33" spans="1:8" ht="43.2" x14ac:dyDescent="0.3">
      <c r="A33" s="358"/>
      <c r="B33" s="349" t="s">
        <v>1158</v>
      </c>
      <c r="C33" s="349" t="s">
        <v>25</v>
      </c>
      <c r="D33" s="350" t="s">
        <v>1116</v>
      </c>
      <c r="E33" s="350" t="s">
        <v>1152</v>
      </c>
      <c r="F33" s="351" t="s">
        <v>289</v>
      </c>
      <c r="G33" s="352">
        <v>50000</v>
      </c>
      <c r="H33" s="353"/>
    </row>
    <row r="34" spans="1:8" ht="28.8" x14ac:dyDescent="0.3">
      <c r="A34" s="358"/>
      <c r="B34" s="165" t="s">
        <v>1159</v>
      </c>
      <c r="C34" s="165" t="s">
        <v>229</v>
      </c>
      <c r="D34" s="166" t="s">
        <v>1116</v>
      </c>
      <c r="E34" s="166" t="s">
        <v>1152</v>
      </c>
      <c r="F34" s="167" t="s">
        <v>453</v>
      </c>
      <c r="G34" s="172">
        <v>250000</v>
      </c>
      <c r="H34" s="160"/>
    </row>
    <row r="35" spans="1:8" ht="28.8" x14ac:dyDescent="0.3">
      <c r="A35" s="358"/>
      <c r="B35" s="349" t="s">
        <v>1160</v>
      </c>
      <c r="C35" s="349" t="s">
        <v>215</v>
      </c>
      <c r="D35" s="350" t="s">
        <v>1116</v>
      </c>
      <c r="E35" s="350" t="s">
        <v>1152</v>
      </c>
      <c r="F35" s="351" t="s">
        <v>451</v>
      </c>
      <c r="G35" s="352">
        <v>200000</v>
      </c>
      <c r="H35" s="353"/>
    </row>
    <row r="36" spans="1:8" x14ac:dyDescent="0.3">
      <c r="A36" s="358"/>
      <c r="B36" s="165" t="s">
        <v>1161</v>
      </c>
      <c r="C36" s="165" t="s">
        <v>59</v>
      </c>
      <c r="D36" s="166" t="s">
        <v>1116</v>
      </c>
      <c r="E36" s="166" t="s">
        <v>1162</v>
      </c>
      <c r="F36" s="167" t="s">
        <v>386</v>
      </c>
      <c r="G36" s="172">
        <v>30000</v>
      </c>
      <c r="H36" s="160"/>
    </row>
    <row r="37" spans="1:8" ht="28.8" x14ac:dyDescent="0.3">
      <c r="A37" s="358"/>
      <c r="B37" s="349" t="s">
        <v>1163</v>
      </c>
      <c r="C37" s="349" t="s">
        <v>183</v>
      </c>
      <c r="D37" s="350" t="s">
        <v>1164</v>
      </c>
      <c r="E37" s="350" t="s">
        <v>1109</v>
      </c>
      <c r="F37" s="351" t="s">
        <v>394</v>
      </c>
      <c r="G37" s="352">
        <v>48000</v>
      </c>
      <c r="H37" s="353"/>
    </row>
    <row r="38" spans="1:8" ht="28.8" x14ac:dyDescent="0.3">
      <c r="A38" s="358"/>
      <c r="B38" s="165" t="s">
        <v>1165</v>
      </c>
      <c r="C38" s="165" t="s">
        <v>204</v>
      </c>
      <c r="D38" s="166" t="s">
        <v>1164</v>
      </c>
      <c r="E38" s="166" t="s">
        <v>1126</v>
      </c>
      <c r="F38" s="167" t="s">
        <v>394</v>
      </c>
      <c r="G38" s="172">
        <v>25000</v>
      </c>
      <c r="H38" s="160"/>
    </row>
    <row r="39" spans="1:8" ht="43.2" x14ac:dyDescent="0.3">
      <c r="A39" s="358"/>
      <c r="B39" s="349" t="s">
        <v>1166</v>
      </c>
      <c r="C39" s="349" t="s">
        <v>1167</v>
      </c>
      <c r="D39" s="350" t="s">
        <v>1164</v>
      </c>
      <c r="E39" s="350" t="s">
        <v>1134</v>
      </c>
      <c r="F39" s="351" t="s">
        <v>289</v>
      </c>
      <c r="G39" s="352">
        <v>4000</v>
      </c>
      <c r="H39" s="353"/>
    </row>
    <row r="40" spans="1:8" ht="28.8" x14ac:dyDescent="0.3">
      <c r="A40" s="358"/>
      <c r="B40" s="165" t="s">
        <v>1168</v>
      </c>
      <c r="C40" s="165" t="s">
        <v>119</v>
      </c>
      <c r="D40" s="166" t="s">
        <v>1164</v>
      </c>
      <c r="E40" s="166" t="s">
        <v>1134</v>
      </c>
      <c r="F40" s="167" t="s">
        <v>394</v>
      </c>
      <c r="G40" s="172">
        <v>10000</v>
      </c>
      <c r="H40" s="160"/>
    </row>
    <row r="41" spans="1:8" ht="28.8" x14ac:dyDescent="0.3">
      <c r="A41" s="358"/>
      <c r="B41" s="349" t="s">
        <v>1169</v>
      </c>
      <c r="C41" s="349" t="s">
        <v>120</v>
      </c>
      <c r="D41" s="350" t="s">
        <v>1164</v>
      </c>
      <c r="E41" s="350" t="s">
        <v>1134</v>
      </c>
      <c r="F41" s="351" t="s">
        <v>394</v>
      </c>
      <c r="G41" s="352">
        <v>12000</v>
      </c>
      <c r="H41" s="353"/>
    </row>
    <row r="42" spans="1:8" ht="28.8" x14ac:dyDescent="0.3">
      <c r="A42" s="358"/>
      <c r="B42" s="165" t="s">
        <v>1170</v>
      </c>
      <c r="C42" s="165" t="s">
        <v>122</v>
      </c>
      <c r="D42" s="166" t="s">
        <v>1164</v>
      </c>
      <c r="E42" s="166" t="s">
        <v>1140</v>
      </c>
      <c r="F42" s="167" t="s">
        <v>394</v>
      </c>
      <c r="G42" s="172">
        <v>30000</v>
      </c>
      <c r="H42" s="160"/>
    </row>
    <row r="43" spans="1:8" ht="28.8" x14ac:dyDescent="0.3">
      <c r="A43" s="358"/>
      <c r="B43" s="349" t="s">
        <v>1171</v>
      </c>
      <c r="C43" s="349" t="s">
        <v>123</v>
      </c>
      <c r="D43" s="350" t="s">
        <v>1164</v>
      </c>
      <c r="E43" s="350" t="s">
        <v>1140</v>
      </c>
      <c r="F43" s="351" t="s">
        <v>394</v>
      </c>
      <c r="G43" s="352">
        <v>20000</v>
      </c>
      <c r="H43" s="353"/>
    </row>
    <row r="44" spans="1:8" ht="28.8" x14ac:dyDescent="0.3">
      <c r="A44" s="358"/>
      <c r="B44" s="165" t="s">
        <v>1172</v>
      </c>
      <c r="C44" s="165" t="s">
        <v>124</v>
      </c>
      <c r="D44" s="166" t="s">
        <v>1164</v>
      </c>
      <c r="E44" s="166" t="s">
        <v>1173</v>
      </c>
      <c r="F44" s="167" t="s">
        <v>394</v>
      </c>
      <c r="G44" s="172">
        <v>19500</v>
      </c>
      <c r="H44" s="160"/>
    </row>
    <row r="45" spans="1:8" ht="28.8" x14ac:dyDescent="0.3">
      <c r="A45" s="358"/>
      <c r="B45" s="349" t="s">
        <v>1174</v>
      </c>
      <c r="C45" s="349" t="s">
        <v>1175</v>
      </c>
      <c r="D45" s="350" t="s">
        <v>1164</v>
      </c>
      <c r="E45" s="350" t="s">
        <v>1143</v>
      </c>
      <c r="F45" s="351" t="s">
        <v>394</v>
      </c>
      <c r="G45" s="352">
        <v>15000</v>
      </c>
      <c r="H45" s="353"/>
    </row>
    <row r="46" spans="1:8" ht="43.2" x14ac:dyDescent="0.3">
      <c r="A46" s="358"/>
      <c r="B46" s="165" t="s">
        <v>1176</v>
      </c>
      <c r="C46" s="165" t="s">
        <v>49</v>
      </c>
      <c r="D46" s="166" t="s">
        <v>1164</v>
      </c>
      <c r="E46" s="166" t="s">
        <v>1143</v>
      </c>
      <c r="F46" s="167" t="s">
        <v>360</v>
      </c>
      <c r="G46" s="172">
        <v>10000</v>
      </c>
      <c r="H46" s="160"/>
    </row>
    <row r="47" spans="1:8" ht="28.8" x14ac:dyDescent="0.3">
      <c r="A47" s="358"/>
      <c r="B47" s="349" t="s">
        <v>1177</v>
      </c>
      <c r="C47" s="349" t="s">
        <v>127</v>
      </c>
      <c r="D47" s="350" t="s">
        <v>1164</v>
      </c>
      <c r="E47" s="350" t="s">
        <v>1147</v>
      </c>
      <c r="F47" s="351" t="s">
        <v>394</v>
      </c>
      <c r="G47" s="352">
        <v>22000</v>
      </c>
      <c r="H47" s="353"/>
    </row>
    <row r="48" spans="1:8" ht="28.8" x14ac:dyDescent="0.3">
      <c r="A48" s="358"/>
      <c r="B48" s="165" t="s">
        <v>1178</v>
      </c>
      <c r="C48" s="165" t="s">
        <v>129</v>
      </c>
      <c r="D48" s="166" t="s">
        <v>1164</v>
      </c>
      <c r="E48" s="166" t="s">
        <v>1147</v>
      </c>
      <c r="F48" s="167" t="s">
        <v>394</v>
      </c>
      <c r="G48" s="172">
        <v>22000</v>
      </c>
      <c r="H48" s="160"/>
    </row>
    <row r="49" spans="1:8" ht="28.8" x14ac:dyDescent="0.3">
      <c r="A49" s="358"/>
      <c r="B49" s="349" t="s">
        <v>1179</v>
      </c>
      <c r="C49" s="349" t="s">
        <v>131</v>
      </c>
      <c r="D49" s="350" t="s">
        <v>1164</v>
      </c>
      <c r="E49" s="350" t="s">
        <v>1147</v>
      </c>
      <c r="F49" s="351" t="s">
        <v>394</v>
      </c>
      <c r="G49" s="352">
        <v>16000</v>
      </c>
      <c r="H49" s="353"/>
    </row>
    <row r="50" spans="1:8" ht="28.8" x14ac:dyDescent="0.3">
      <c r="A50" s="358"/>
      <c r="B50" s="165" t="s">
        <v>1180</v>
      </c>
      <c r="C50" s="165" t="s">
        <v>1181</v>
      </c>
      <c r="D50" s="166" t="s">
        <v>1164</v>
      </c>
      <c r="E50" s="166" t="s">
        <v>1147</v>
      </c>
      <c r="F50" s="167" t="s">
        <v>394</v>
      </c>
      <c r="G50" s="172">
        <v>10000</v>
      </c>
      <c r="H50" s="160"/>
    </row>
    <row r="51" spans="1:8" ht="28.8" x14ac:dyDescent="0.3">
      <c r="A51" s="358"/>
      <c r="B51" s="349" t="s">
        <v>1182</v>
      </c>
      <c r="C51" s="349" t="s">
        <v>133</v>
      </c>
      <c r="D51" s="350" t="s">
        <v>1164</v>
      </c>
      <c r="E51" s="350" t="s">
        <v>1147</v>
      </c>
      <c r="F51" s="351" t="s">
        <v>394</v>
      </c>
      <c r="G51" s="352">
        <v>6000</v>
      </c>
      <c r="H51" s="353"/>
    </row>
    <row r="52" spans="1:8" x14ac:dyDescent="0.3">
      <c r="A52" s="358"/>
      <c r="B52" s="165" t="s">
        <v>1183</v>
      </c>
      <c r="C52" s="165" t="s">
        <v>230</v>
      </c>
      <c r="D52" s="166" t="s">
        <v>1164</v>
      </c>
      <c r="E52" s="166" t="s">
        <v>1152</v>
      </c>
      <c r="F52" s="167" t="s">
        <v>453</v>
      </c>
      <c r="G52" s="172">
        <v>25000</v>
      </c>
      <c r="H52" s="160"/>
    </row>
    <row r="53" spans="1:8" x14ac:dyDescent="0.3">
      <c r="A53" s="358"/>
      <c r="B53" s="349" t="s">
        <v>1184</v>
      </c>
      <c r="C53" s="349" t="s">
        <v>212</v>
      </c>
      <c r="D53" s="350" t="s">
        <v>1164</v>
      </c>
      <c r="E53" s="350" t="s">
        <v>1152</v>
      </c>
      <c r="F53" s="351" t="s">
        <v>451</v>
      </c>
      <c r="G53" s="352">
        <v>350000</v>
      </c>
      <c r="H53" s="353"/>
    </row>
    <row r="54" spans="1:8" x14ac:dyDescent="0.3">
      <c r="A54" s="358"/>
      <c r="B54" s="165" t="s">
        <v>1185</v>
      </c>
      <c r="C54" s="165" t="s">
        <v>214</v>
      </c>
      <c r="D54" s="166" t="s">
        <v>1164</v>
      </c>
      <c r="E54" s="166" t="s">
        <v>1152</v>
      </c>
      <c r="F54" s="167" t="s">
        <v>451</v>
      </c>
      <c r="G54" s="172">
        <v>163000</v>
      </c>
      <c r="H54" s="160"/>
    </row>
    <row r="55" spans="1:8" x14ac:dyDescent="0.3">
      <c r="G55" s="171">
        <f>SUM(G3:G54)</f>
        <v>5470478</v>
      </c>
    </row>
  </sheetData>
  <autoFilter ref="B2:H55" xr:uid="{DECEE9C6-EF87-4BB1-8A23-E4A872024DC0}"/>
  <sortState xmlns:xlrd2="http://schemas.microsoft.com/office/spreadsheetml/2017/richdata2" ref="B3:H55">
    <sortCondition ref="D2:D5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A941-5E08-4D44-A5D7-53B1C8E2A698}">
  <dimension ref="B2:F35"/>
  <sheetViews>
    <sheetView showGridLines="0" workbookViewId="0">
      <selection activeCell="J21" sqref="J21"/>
    </sheetView>
    <sheetView topLeftCell="A12" workbookViewId="1">
      <selection activeCell="D24" sqref="D24"/>
    </sheetView>
  </sheetViews>
  <sheetFormatPr baseColWidth="10" defaultColWidth="11.44140625" defaultRowHeight="14.4" x14ac:dyDescent="0.3"/>
  <cols>
    <col min="4" max="4" width="76.33203125" bestFit="1" customWidth="1"/>
    <col min="5" max="5" width="51.88671875" customWidth="1"/>
    <col min="6" max="6" width="17.88671875" bestFit="1" customWidth="1"/>
  </cols>
  <sheetData>
    <row r="2" spans="2:5" ht="15" thickBot="1" x14ac:dyDescent="0.35"/>
    <row r="3" spans="2:5" x14ac:dyDescent="0.3">
      <c r="B3" s="1131" t="e" vm="9">
        <v>#VALUE!</v>
      </c>
      <c r="C3" s="1133"/>
      <c r="D3" s="1191" t="s">
        <v>1501</v>
      </c>
      <c r="E3" s="1193" t="e" vm="10">
        <v>#VALUE!</v>
      </c>
    </row>
    <row r="4" spans="2:5" ht="14.4" customHeight="1" x14ac:dyDescent="0.3">
      <c r="B4" s="1134"/>
      <c r="C4" s="1136"/>
      <c r="D4" s="1192"/>
      <c r="E4" s="1194"/>
    </row>
    <row r="5" spans="2:5" ht="28.95" customHeight="1" x14ac:dyDescent="0.3">
      <c r="B5" s="1134"/>
      <c r="C5" s="1136"/>
      <c r="D5" s="1196" t="s">
        <v>1509</v>
      </c>
      <c r="E5" s="1194"/>
    </row>
    <row r="6" spans="2:5" x14ac:dyDescent="0.3">
      <c r="B6" s="1134"/>
      <c r="C6" s="1136"/>
      <c r="D6" s="1196"/>
      <c r="E6" s="1194"/>
    </row>
    <row r="7" spans="2:5" ht="15" thickBot="1" x14ac:dyDescent="0.35">
      <c r="B7" s="1137"/>
      <c r="C7" s="1139"/>
      <c r="D7" s="914" t="s">
        <v>1503</v>
      </c>
      <c r="E7" s="1195"/>
    </row>
    <row r="8" spans="2:5" ht="15" customHeight="1" thickBot="1" x14ac:dyDescent="0.35"/>
    <row r="9" spans="2:5" ht="23.4" x14ac:dyDescent="0.45">
      <c r="C9" s="907" t="s">
        <v>1186</v>
      </c>
      <c r="D9" s="907" t="s">
        <v>1187</v>
      </c>
      <c r="E9" s="908" t="s">
        <v>1496</v>
      </c>
    </row>
    <row r="10" spans="2:5" x14ac:dyDescent="0.3">
      <c r="C10" s="442" t="s">
        <v>1188</v>
      </c>
      <c r="D10" s="912" t="s">
        <v>96</v>
      </c>
      <c r="E10" s="909">
        <v>16055.339999999998</v>
      </c>
    </row>
    <row r="11" spans="2:5" x14ac:dyDescent="0.3">
      <c r="C11" s="442" t="s">
        <v>1510</v>
      </c>
      <c r="D11" s="912" t="s">
        <v>220</v>
      </c>
      <c r="E11" s="909">
        <v>6200</v>
      </c>
    </row>
    <row r="12" spans="2:5" x14ac:dyDescent="0.3">
      <c r="C12" s="442" t="s">
        <v>1511</v>
      </c>
      <c r="D12" s="913" t="s">
        <v>111</v>
      </c>
      <c r="E12" s="909">
        <v>55000</v>
      </c>
    </row>
    <row r="13" spans="2:5" ht="43.2" x14ac:dyDescent="0.3">
      <c r="C13" s="915" t="s">
        <v>1512</v>
      </c>
      <c r="D13" s="912" t="s">
        <v>62</v>
      </c>
      <c r="E13" s="406">
        <v>25000</v>
      </c>
    </row>
    <row r="14" spans="2:5" x14ac:dyDescent="0.3">
      <c r="C14" s="442" t="s">
        <v>1190</v>
      </c>
      <c r="D14" s="912" t="s">
        <v>67</v>
      </c>
      <c r="E14" s="406">
        <v>1500</v>
      </c>
    </row>
    <row r="15" spans="2:5" x14ac:dyDescent="0.3">
      <c r="C15" s="442" t="s">
        <v>1189</v>
      </c>
      <c r="D15" s="913" t="s">
        <v>189</v>
      </c>
      <c r="E15" s="909">
        <v>56500</v>
      </c>
    </row>
    <row r="16" spans="2:5" x14ac:dyDescent="0.3">
      <c r="C16" s="442" t="s">
        <v>1191</v>
      </c>
      <c r="D16" s="912" t="s">
        <v>89</v>
      </c>
      <c r="E16" s="406">
        <v>15000</v>
      </c>
    </row>
    <row r="17" spans="3:5" x14ac:dyDescent="0.3">
      <c r="C17" s="442" t="s">
        <v>1192</v>
      </c>
      <c r="D17" s="912" t="s">
        <v>94</v>
      </c>
      <c r="E17" s="388">
        <v>15000</v>
      </c>
    </row>
    <row r="18" spans="3:5" x14ac:dyDescent="0.3">
      <c r="C18" s="442" t="s">
        <v>1511</v>
      </c>
      <c r="D18" s="912" t="s">
        <v>108</v>
      </c>
      <c r="E18" s="406">
        <v>7500</v>
      </c>
    </row>
    <row r="19" spans="3:5" x14ac:dyDescent="0.3">
      <c r="C19" s="442" t="s">
        <v>1193</v>
      </c>
      <c r="D19" s="912" t="s">
        <v>98</v>
      </c>
      <c r="E19" s="909">
        <v>21700</v>
      </c>
    </row>
    <row r="20" spans="3:5" x14ac:dyDescent="0.3">
      <c r="C20" s="442" t="s">
        <v>1194</v>
      </c>
      <c r="D20" s="912" t="s">
        <v>87</v>
      </c>
      <c r="E20" s="406">
        <v>5000</v>
      </c>
    </row>
    <row r="21" spans="3:5" x14ac:dyDescent="0.3">
      <c r="C21" s="442" t="s">
        <v>1195</v>
      </c>
      <c r="D21" s="912" t="s">
        <v>85</v>
      </c>
      <c r="E21" s="406">
        <v>4000</v>
      </c>
    </row>
    <row r="22" spans="3:5" x14ac:dyDescent="0.3">
      <c r="C22" s="442" t="s">
        <v>1196</v>
      </c>
      <c r="D22" s="912" t="s">
        <v>69</v>
      </c>
      <c r="E22" s="406">
        <v>3000</v>
      </c>
    </row>
    <row r="23" spans="3:5" x14ac:dyDescent="0.3">
      <c r="C23" s="442" t="s">
        <v>1197</v>
      </c>
      <c r="D23" s="912" t="s">
        <v>106</v>
      </c>
      <c r="E23" s="909">
        <v>22500</v>
      </c>
    </row>
    <row r="24" spans="3:5" x14ac:dyDescent="0.3">
      <c r="C24" s="442" t="s">
        <v>1198</v>
      </c>
      <c r="D24" s="912" t="s">
        <v>81</v>
      </c>
      <c r="E24" s="388">
        <v>2000</v>
      </c>
    </row>
    <row r="25" spans="3:5" x14ac:dyDescent="0.3">
      <c r="C25" s="442" t="s">
        <v>1199</v>
      </c>
      <c r="D25" s="912" t="s">
        <v>65</v>
      </c>
      <c r="E25" s="406">
        <v>1454.99</v>
      </c>
    </row>
    <row r="26" spans="3:5" x14ac:dyDescent="0.3">
      <c r="C26" s="442" t="s">
        <v>1513</v>
      </c>
      <c r="D26" s="912" t="s">
        <v>102</v>
      </c>
      <c r="E26" s="406">
        <v>500</v>
      </c>
    </row>
    <row r="27" spans="3:5" ht="28.8" x14ac:dyDescent="0.3">
      <c r="C27" s="915" t="s">
        <v>1514</v>
      </c>
      <c r="D27" s="912" t="s">
        <v>100</v>
      </c>
      <c r="E27" s="406">
        <v>4500</v>
      </c>
    </row>
    <row r="28" spans="3:5" x14ac:dyDescent="0.3">
      <c r="C28" s="442" t="s">
        <v>1200</v>
      </c>
      <c r="D28" s="912" t="s">
        <v>104</v>
      </c>
      <c r="E28" s="406">
        <v>1212.45</v>
      </c>
    </row>
    <row r="29" spans="3:5" x14ac:dyDescent="0.3">
      <c r="C29" s="442" t="s">
        <v>1201</v>
      </c>
      <c r="D29" s="912" t="s">
        <v>73</v>
      </c>
      <c r="E29" s="388">
        <v>10000</v>
      </c>
    </row>
    <row r="30" spans="3:5" x14ac:dyDescent="0.3">
      <c r="C30" s="442" t="s">
        <v>1202</v>
      </c>
      <c r="D30" s="912" t="s">
        <v>79</v>
      </c>
      <c r="E30" s="909">
        <v>47000</v>
      </c>
    </row>
    <row r="31" spans="3:5" x14ac:dyDescent="0.3">
      <c r="C31" s="442" t="s">
        <v>1204</v>
      </c>
      <c r="D31" s="912" t="s">
        <v>77</v>
      </c>
      <c r="E31" s="909">
        <v>12410.960000000001</v>
      </c>
    </row>
    <row r="32" spans="3:5" x14ac:dyDescent="0.3">
      <c r="C32" s="442" t="s">
        <v>1205</v>
      </c>
      <c r="D32" s="912" t="s">
        <v>91</v>
      </c>
      <c r="E32" s="406">
        <v>25000</v>
      </c>
    </row>
    <row r="33" spans="3:6" x14ac:dyDescent="0.3">
      <c r="C33" s="442" t="s">
        <v>1206</v>
      </c>
      <c r="D33" s="912" t="s">
        <v>71</v>
      </c>
      <c r="E33" s="388">
        <v>20000</v>
      </c>
    </row>
    <row r="34" spans="3:6" ht="18" x14ac:dyDescent="0.35">
      <c r="D34" s="910" t="s">
        <v>273</v>
      </c>
      <c r="E34" s="911">
        <f>+SUM(E10:E33)</f>
        <v>378033.74</v>
      </c>
    </row>
    <row r="35" spans="3:6" x14ac:dyDescent="0.3">
      <c r="F35" s="171"/>
    </row>
  </sheetData>
  <sortState xmlns:xlrd2="http://schemas.microsoft.com/office/spreadsheetml/2017/richdata2" ref="D10:D33">
    <sortCondition ref="D10:D33"/>
  </sortState>
  <mergeCells count="4">
    <mergeCell ref="D3:D4"/>
    <mergeCell ref="B3:C7"/>
    <mergeCell ref="E3:E7"/>
    <mergeCell ref="D5: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073CDDA8D5DB4C8EC9671F529BEA11" ma:contentTypeVersion="15" ma:contentTypeDescription="Crear nuevo documento." ma:contentTypeScope="" ma:versionID="be40fc153cbbb6cbfcaee4f4c745adde">
  <xsd:schema xmlns:xsd="http://www.w3.org/2001/XMLSchema" xmlns:xs="http://www.w3.org/2001/XMLSchema" xmlns:p="http://schemas.microsoft.com/office/2006/metadata/properties" xmlns:ns2="760d70bc-984f-4f30-94ea-322ee7f04f54" xmlns:ns3="dd44b0c3-e5d2-4923-a2df-5c13f7341749" targetNamespace="http://schemas.microsoft.com/office/2006/metadata/properties" ma:root="true" ma:fieldsID="54ff91af0d8a8648eacd5979552f865f" ns2:_="" ns3:_="">
    <xsd:import namespace="760d70bc-984f-4f30-94ea-322ee7f04f54"/>
    <xsd:import namespace="dd44b0c3-e5d2-4923-a2df-5c13f73417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d70bc-984f-4f30-94ea-322ee7f04f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c72666d-2c2f-4e10-8e12-5ac1c5e0b04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44b0c3-e5d2-4923-a2df-5c13f7341749"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5de76fe-4e8f-4c53-9de3-bf3ca834ec60}" ma:internalName="TaxCatchAll" ma:showField="CatchAllData" ma:web="dd44b0c3-e5d2-4923-a2df-5c13f7341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0d70bc-984f-4f30-94ea-322ee7f04f54">
      <Terms xmlns="http://schemas.microsoft.com/office/infopath/2007/PartnerControls"/>
    </lcf76f155ced4ddcb4097134ff3c332f>
    <TaxCatchAll xmlns="dd44b0c3-e5d2-4923-a2df-5c13f7341749" xsi:nil="true"/>
  </documentManagement>
</p:properties>
</file>

<file path=customXml/itemProps1.xml><?xml version="1.0" encoding="utf-8"?>
<ds:datastoreItem xmlns:ds="http://schemas.openxmlformats.org/officeDocument/2006/customXml" ds:itemID="{02BFE137-ACD9-4DC6-834D-8EF2207E067A}">
  <ds:schemaRefs>
    <ds:schemaRef ds:uri="http://schemas.microsoft.com/sharepoint/v3/contenttype/forms"/>
  </ds:schemaRefs>
</ds:datastoreItem>
</file>

<file path=customXml/itemProps2.xml><?xml version="1.0" encoding="utf-8"?>
<ds:datastoreItem xmlns:ds="http://schemas.openxmlformats.org/officeDocument/2006/customXml" ds:itemID="{74FA6622-A22A-4DCB-944D-082D5250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d70bc-984f-4f30-94ea-322ee7f04f54"/>
    <ds:schemaRef ds:uri="dd44b0c3-e5d2-4923-a2df-5c13f7341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240D6-819C-4515-A66A-A164B5646DAB}">
  <ds:schemaRefs>
    <ds:schemaRef ds:uri="http://schemas.microsoft.com/office/2006/metadata/properties"/>
    <ds:schemaRef ds:uri="http://www.w3.org/XML/1998/namespace"/>
    <ds:schemaRef ds:uri="dd44b0c3-e5d2-4923-a2df-5c13f7341749"/>
    <ds:schemaRef ds:uri="http://schemas.microsoft.com/office/2006/documentManagement/types"/>
    <ds:schemaRef ds:uri="http://purl.org/dc/terms/"/>
    <ds:schemaRef ds:uri="http://purl.org/dc/elements/1.1/"/>
    <ds:schemaRef ds:uri="760d70bc-984f-4f30-94ea-322ee7f04f54"/>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Adquisiciones PEP (2)</vt:lpstr>
      <vt:lpstr>EDT</vt:lpstr>
      <vt:lpstr>Vinculación SIGEF-EDT</vt:lpstr>
      <vt:lpstr>Triple Restricción</vt:lpstr>
      <vt:lpstr>Resumen</vt:lpstr>
      <vt:lpstr>Adquisiciones PEP</vt:lpstr>
      <vt:lpstr>Presupuesto - Categoria de Inve</vt:lpstr>
      <vt:lpstr>Adquisiciones</vt:lpstr>
      <vt:lpstr>Gastos Operativos</vt:lpstr>
      <vt:lpstr>Plantilla Salarial</vt:lpstr>
      <vt:lpstr>Proyección de desembolso</vt:lpstr>
      <vt:lpstr>Adquisiciones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isais Ruiz</dc:creator>
  <cp:keywords/>
  <dc:description/>
  <cp:lastModifiedBy>Juan isais Ruiz</cp:lastModifiedBy>
  <cp:revision/>
  <dcterms:created xsi:type="dcterms:W3CDTF">2025-10-27T13:28:14Z</dcterms:created>
  <dcterms:modified xsi:type="dcterms:W3CDTF">2026-02-02T13:57:16Z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0x01010079073CDDA8D5DB4C8EC9671F529BEA11</vt:lpwstr>
  </property>
  <property fmtid="{D5CDD505-2E9C-101B-9397-08002B2CF9AE}" pid="3" name="MediaServiceImageTags">
    <vt:lpwstr/>
  </property>
</Properties>
</file>