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'PP'!$B$2:$AE$105</definedName>
    <definedName name="_xlnm.Print_Titles" localSheetId="0">'PP'!$5:$13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<sst xmlns="http://schemas.openxmlformats.org/spreadsheetml/2006/main" count="124" uniqueCount="103">
  <si>
    <t>MINISTERIO DE HACIENDA</t>
  </si>
  <si>
    <t>DIRECCION GENERAL DE POLITICA Y LEGISLACION TRIBUTARIA</t>
  </si>
  <si>
    <t>DEPARTAMENTO DE ESTUDIOS Y POLITICA TRIBUTARIA</t>
  </si>
  <si>
    <t>CUADRO No.1</t>
  </si>
  <si>
    <t>INGRESOS FISCALES COMPARADOS, SEGÚN PRINCIPALES PARTIDAS</t>
  </si>
  <si>
    <t>2005-2004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</si>
  <si>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</si>
  <si>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</si>
  <si>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</si>
  <si>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</si>
  <si>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</si>
  <si>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</si>
  <si>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</si>
  <si>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</si>
  <si>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</si>
  <si>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</si>
  <si>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</si>
  <si>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</si>
  <si>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</si>
  <si>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</si>
  <si>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</si>
  <si>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</si>
  <si>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I-  INGRESOS CORRIENTES</t>
  </si>
  <si>
    <t>II-  INGRESOS TRIBUTARIOS</t>
  </si>
  <si>
    <t>- Impuestos Sobre la Renta de las Personas</t>
  </si>
  <si>
    <t>- Impuestos Sobre los Ingresos de las Empresas</t>
  </si>
  <si>
    <t>- Otros Impuestos Sobre los Ingresos</t>
  </si>
  <si>
    <t>- Operaciones Inmobiliarias</t>
  </si>
  <si>
    <t>- Actos Traslativos</t>
  </si>
  <si>
    <t xml:space="preserve">- Impuestos a las Viviendas Suntuarias </t>
  </si>
  <si>
    <t>- Otros</t>
  </si>
  <si>
    <t>Impuesto a las Transf. de Bienes Industrializados y Servicios</t>
  </si>
  <si>
    <t>- ITBIS Interno</t>
  </si>
  <si>
    <t xml:space="preserve"> - ITBIS Externo</t>
  </si>
  <si>
    <t xml:space="preserve">Impuestos sobre Mercancías </t>
  </si>
  <si>
    <t>- Bebidas Alcohólicas</t>
  </si>
  <si>
    <t>- Tabaco Manufacturado</t>
  </si>
  <si>
    <t>- Impuestos Sobre Hidrocarburos</t>
  </si>
  <si>
    <t>- Incremento de un 30% Selectivo Tabaco y Alcoholes</t>
  </si>
  <si>
    <t>Impuestos Sobre los Servicios</t>
  </si>
  <si>
    <t xml:space="preserve">- Impuesto sobre Cheques </t>
  </si>
  <si>
    <t xml:space="preserve">- Impuesto Selectivo sobre las Telecomunicaciones </t>
  </si>
  <si>
    <t>Impuestos Sobre el Uso de Bienes y Licencias</t>
  </si>
  <si>
    <t>- Derecho de Circulación Vehículos de Motor</t>
  </si>
  <si>
    <t>- Impuesto Sobre Tramitación de Documentos</t>
  </si>
  <si>
    <t>- Licencias para Portar Armas de Fuego</t>
  </si>
  <si>
    <t>- Licencias para Operar Bancas de Apuestas</t>
  </si>
  <si>
    <t>- Licencias sobre Maguina Tragamonedas</t>
  </si>
  <si>
    <t>Sobre las Importaciones</t>
  </si>
  <si>
    <t>- Arancel</t>
  </si>
  <si>
    <t>Sobre las Exportaciones</t>
  </si>
  <si>
    <t>Otros Impuestos al Comercio Exterior</t>
  </si>
  <si>
    <t>- Comisión Cambiaria</t>
  </si>
  <si>
    <t>- Impuesto a la Salida de Pasajeros al Exterior por Aeropuertos y Puertos</t>
  </si>
  <si>
    <t>- Derechos Consulares</t>
  </si>
  <si>
    <t>III-  INGRESOS NO TRIBUTARIOS</t>
  </si>
  <si>
    <t>1) Transferencias Corrientes</t>
  </si>
  <si>
    <t>- Zona Franca</t>
  </si>
  <si>
    <t>- Loteria Nacional</t>
  </si>
  <si>
    <t>2) Otros Ingresos</t>
  </si>
  <si>
    <t>- Ventas de Mercancías del Sector Público</t>
  </si>
  <si>
    <t>- PROMESE</t>
  </si>
  <si>
    <t>- Otras Ventas de Mercancías de la Administración Central</t>
  </si>
  <si>
    <t>- Otras Ventas</t>
  </si>
  <si>
    <t>- Ventas de Servicios del Sector Público</t>
  </si>
  <si>
    <t>- Derechos Aeroportuarios</t>
  </si>
  <si>
    <t>- Tarjetas de Turismo</t>
  </si>
  <si>
    <t>- Peaje</t>
  </si>
  <si>
    <t>- Tasas por Expedición y Renovación de Pasaportes</t>
  </si>
  <si>
    <t>- Otras Ventas de Administración General</t>
  </si>
  <si>
    <t>- Rentas de Propiedad</t>
  </si>
  <si>
    <t>- Dividendos por Inversiones Empresariales</t>
  </si>
  <si>
    <t>- Dividendos de la Refinería</t>
  </si>
  <si>
    <t xml:space="preserve">- Dividendos del Banco de Reservas </t>
  </si>
  <si>
    <t>- Intereses</t>
  </si>
  <si>
    <t>- Conseciones</t>
  </si>
  <si>
    <t>- Conseción para Explotar Falconbrigde</t>
  </si>
  <si>
    <t>- Ingresos Diversos</t>
  </si>
  <si>
    <t>IV) INGRESOS A ESPECIFICAR</t>
  </si>
  <si>
    <t>- Ventas de Activos No Financieros</t>
  </si>
  <si>
    <t>- Transferencias de Capital</t>
  </si>
  <si>
    <t>TOTAL</t>
  </si>
  <si>
    <t>DONACIONES</t>
  </si>
  <si>
    <t>FUENTES FINANCIERAS</t>
  </si>
  <si>
    <t>-  Activos Financieros</t>
  </si>
  <si>
    <t>-  Pasivos Financieros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</si>
  <si>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</si>
  <si>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</si>
  <si>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</si>
  <si>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</si>
  <si>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</si>
  <si>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</si>
  <si>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Incluye los dolares convertidos a la tasa oficial. Para el 2005 se rectifico incluyendole el 2.0% de Comisión Cambiaria de Aduanas.</t>
  </si>
  <si>
    <t xml:space="preserve">      Para ambos años se rectifico el Peaje con el reportado por la SEOPC y las Donaciones según cifras suministradas por el Banco Central.</t>
  </si>
  <si>
    <t>FUENTES: Tesorería Nacional, Estados Financieros; Ministerio de de Hacienda (SIGEF), Informe de Ejecución de Ingresos.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</si>
  <si>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</si>
  <si>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r>
      <t>1)</t>
    </r>
    <r>
      <rPr>
        <b/>
        <u val="single"/>
        <sz val="11"/>
        <color indexed="8"/>
        <rFont val="Arial"/>
        <family val="2"/>
      </rPr>
      <t xml:space="preserve"> Impuestos Sobre Ingresos</t>
    </r>
  </si>
  <si>
    <r>
      <t xml:space="preserve">2) </t>
    </r>
    <r>
      <rPr>
        <b/>
        <u val="single"/>
        <sz val="11"/>
        <color indexed="8"/>
        <rFont val="Arial"/>
        <family val="2"/>
      </rPr>
      <t xml:space="preserve">Impuestos Sobre la Propiedad </t>
    </r>
  </si>
  <si>
    <r>
      <t>3)</t>
    </r>
    <r>
      <rPr>
        <b/>
        <u val="single"/>
        <sz val="11"/>
        <color indexed="8"/>
        <rFont val="Arial"/>
        <family val="2"/>
      </rPr>
      <t xml:space="preserve"> Impuestos Internos Sobre Mercancías y Servicios</t>
    </r>
  </si>
  <si>
    <r>
      <t xml:space="preserve">4) </t>
    </r>
    <r>
      <rPr>
        <b/>
        <u val="single"/>
        <sz val="11"/>
        <color indexed="8"/>
        <rFont val="Arial"/>
        <family val="2"/>
      </rPr>
      <t>Impuestos Sobre el Comercio Exterior</t>
    </r>
  </si>
  <si>
    <r>
      <t xml:space="preserve">5) </t>
    </r>
    <r>
      <rPr>
        <b/>
        <u val="single"/>
        <sz val="11"/>
        <color indexed="8"/>
        <rFont val="Arial"/>
        <family val="2"/>
      </rPr>
      <t xml:space="preserve">Otros Impuestos </t>
    </r>
  </si>
  <si>
    <r>
      <t xml:space="preserve">6) </t>
    </r>
    <r>
      <rPr>
        <b/>
        <u val="single"/>
        <sz val="11"/>
        <color indexed="8"/>
        <rFont val="Arial"/>
        <family val="2"/>
      </rPr>
      <t>Contribución a la Seguridad Social</t>
    </r>
  </si>
  <si>
    <r>
      <t xml:space="preserve">V. </t>
    </r>
    <r>
      <rPr>
        <b/>
        <u val="single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INGRESOS DE CAPITAL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</si>
</sst>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#,##0.000000000000_);\(#,##0.000000000000\)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/>
    </xf>
    <xf numFmtId="49" fontId="11" fillId="0" borderId="2" xfId="15" applyNumberFormat="1" applyFont="1" applyBorder="1" applyAlignment="1">
      <alignment horizontal="center" vertical="center"/>
    </xf>
    <xf numFmtId="49" fontId="11" fillId="0" borderId="3" xfId="15" applyNumberFormat="1" applyFont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164" fontId="10" fillId="0" borderId="9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left" indent="1"/>
      <protection/>
    </xf>
    <xf numFmtId="164" fontId="12" fillId="0" borderId="9" xfId="0" applyNumberFormat="1" applyFont="1" applyFill="1" applyBorder="1" applyAlignment="1" applyProtection="1">
      <alignment/>
      <protection/>
    </xf>
    <xf numFmtId="164" fontId="12" fillId="0" borderId="10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2"/>
      <protection/>
    </xf>
    <xf numFmtId="164" fontId="13" fillId="0" borderId="9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 applyProtection="1">
      <alignment horizontal="left" indent="2"/>
      <protection/>
    </xf>
    <xf numFmtId="164" fontId="14" fillId="0" borderId="9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>
      <alignment/>
    </xf>
    <xf numFmtId="164" fontId="14" fillId="0" borderId="9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49" fontId="13" fillId="0" borderId="11" xfId="0" applyNumberFormat="1" applyFont="1" applyFill="1" applyBorder="1" applyAlignment="1" applyProtection="1">
      <alignment horizontal="left" indent="3"/>
      <protection/>
    </xf>
    <xf numFmtId="164" fontId="12" fillId="0" borderId="10" xfId="0" applyNumberFormat="1" applyFont="1" applyFill="1" applyBorder="1" applyAlignment="1">
      <alignment/>
    </xf>
    <xf numFmtId="164" fontId="12" fillId="0" borderId="9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>
      <alignment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49" fontId="10" fillId="0" borderId="12" xfId="0" applyNumberFormat="1" applyFont="1" applyFill="1" applyBorder="1" applyAlignment="1" applyProtection="1">
      <alignment horizontal="left" indent="2"/>
      <protection/>
    </xf>
    <xf numFmtId="49" fontId="16" fillId="0" borderId="0" xfId="0" applyNumberFormat="1" applyFont="1" applyFill="1" applyBorder="1" applyAlignment="1" applyProtection="1">
      <alignment horizontal="left" indent="3"/>
      <protection/>
    </xf>
    <xf numFmtId="49" fontId="10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49" fontId="3" fillId="0" borderId="0" xfId="0" applyNumberFormat="1" applyFont="1" applyFill="1" applyBorder="1" applyAlignment="1" applyProtection="1">
      <alignment horizontal="left" indent="3"/>
      <protection/>
    </xf>
    <xf numFmtId="49" fontId="10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164" fontId="10" fillId="0" borderId="8" xfId="0" applyNumberFormat="1" applyFont="1" applyFill="1" applyBorder="1" applyAlignment="1" applyProtection="1">
      <alignment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4" fontId="10" fillId="0" borderId="12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indent="1"/>
      <protection/>
    </xf>
    <xf numFmtId="49" fontId="14" fillId="0" borderId="0" xfId="0" applyNumberFormat="1" applyFont="1" applyFill="1" applyBorder="1" applyAlignment="1" applyProtection="1">
      <alignment horizontal="left" indent="2"/>
      <protection/>
    </xf>
    <xf numFmtId="164" fontId="13" fillId="0" borderId="8" xfId="0" applyNumberFormat="1" applyFont="1" applyFill="1" applyBorder="1" applyAlignment="1">
      <alignment/>
    </xf>
    <xf numFmtId="164" fontId="13" fillId="0" borderId="7" xfId="0" applyNumberFormat="1" applyFont="1" applyFill="1" applyBorder="1" applyAlignment="1">
      <alignment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vertical="center"/>
      <protection/>
    </xf>
    <xf numFmtId="164" fontId="10" fillId="0" borderId="16" xfId="0" applyNumberFormat="1" applyFont="1" applyFill="1" applyBorder="1" applyAlignment="1" applyProtection="1">
      <alignment vertical="center"/>
      <protection/>
    </xf>
    <xf numFmtId="164" fontId="10" fillId="0" borderId="17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 applyProtection="1">
      <alignment/>
      <protection/>
    </xf>
    <xf numFmtId="165" fontId="20" fillId="0" borderId="0" xfId="15" applyNumberFormat="1" applyFont="1" applyFill="1" applyAlignment="1">
      <alignment/>
    </xf>
    <xf numFmtId="165" fontId="0" fillId="0" borderId="0" xfId="15" applyNumberFormat="1" applyFont="1" applyAlignment="1">
      <alignment/>
    </xf>
    <xf numFmtId="165" fontId="17" fillId="0" borderId="0" xfId="15" applyNumberFormat="1" applyFont="1" applyFill="1" applyAlignment="1">
      <alignment/>
    </xf>
    <xf numFmtId="165" fontId="0" fillId="0" borderId="0" xfId="15" applyNumberFormat="1" applyFont="1" applyBorder="1" applyAlignment="1">
      <alignment/>
    </xf>
    <xf numFmtId="165" fontId="21" fillId="0" borderId="0" xfId="15" applyNumberFormat="1" applyFont="1" applyFill="1" applyAlignment="1">
      <alignment/>
    </xf>
    <xf numFmtId="165" fontId="17" fillId="0" borderId="0" xfId="15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2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66"/>
  <sheetViews>
    <sheetView showGridLines="0" tabSelected="1" workbookViewId="0" topLeftCell="A87">
      <selection activeCell="C102" sqref="C102:N102"/>
    </sheetView>
  </sheetViews>
  <sheetFormatPr defaultColWidth="9.140625" defaultRowHeight="12.75"/>
  <cols>
    <col min="1" max="1" width="2.57421875" style="98" customWidth="1"/>
    <col min="2" max="2" width="76.421875" style="0" customWidth="1"/>
    <col min="3" max="3" width="10.140625" style="0" customWidth="1"/>
    <col min="4" max="4" width="12.421875" style="0" customWidth="1"/>
    <col min="5" max="9" width="10.57421875" style="0" customWidth="1"/>
    <col min="10" max="10" width="12.421875" style="0" customWidth="1"/>
    <col min="11" max="13" width="15.57421875" style="0" customWidth="1"/>
    <col min="14" max="14" width="13.421875" style="0" customWidth="1"/>
    <col min="15" max="15" width="11.140625" style="0" customWidth="1"/>
    <col min="16" max="16" width="11.00390625" style="98" customWidth="1"/>
    <col min="17" max="23" width="11.421875" style="0" customWidth="1"/>
    <col min="24" max="24" width="16.00390625" style="0" customWidth="1"/>
    <col min="25" max="25" width="12.8515625" style="0" customWidth="1"/>
    <col min="26" max="26" width="14.7109375" style="0" customWidth="1"/>
    <col min="27" max="27" width="14.00390625" style="0" customWidth="1"/>
    <col min="28" max="30" width="11.421875" style="0" customWidth="1"/>
    <col min="31" max="31" width="3.7109375" style="0" customWidth="1"/>
    <col min="32" max="16384" width="11.421875" style="0" customWidth="1"/>
  </cols>
  <sheetData>
    <row r="2" spans="2:30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.7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1" ht="26.2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2:31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</row>
    <row r="8" spans="2:31" ht="18.75" customHeight="1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</row>
    <row r="9" spans="2:31" ht="18" customHeight="1">
      <c r="B9" s="8" t="s">
        <v>95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/>
    </row>
    <row r="10" spans="2:31" ht="8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23.25" customHeight="1">
      <c r="B11" s="10" t="s">
        <v>6</v>
      </c>
      <c r="C11" s="11">
        <v>2004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>
        <v>2004</v>
      </c>
      <c r="P11" s="15">
        <v>2005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v>2005</v>
      </c>
      <c r="AC11" s="12" t="s">
        <v>7</v>
      </c>
      <c r="AD11" s="12"/>
      <c r="AE11" s="3"/>
    </row>
    <row r="12" spans="2:31" ht="21.75" customHeight="1">
      <c r="B12" s="17"/>
      <c r="C12" s="18" t="s">
        <v>8</v>
      </c>
      <c r="D12" s="18" t="s">
        <v>9</v>
      </c>
      <c r="E12" s="18" t="s">
        <v>10</v>
      </c>
      <c r="F12" s="18" t="s">
        <v>11</v>
      </c>
      <c r="G12" s="18" t="s">
        <v>12</v>
      </c>
      <c r="H12" s="18" t="s">
        <v>13</v>
      </c>
      <c r="I12" s="18" t="s">
        <v>14</v>
      </c>
      <c r="J12" s="18" t="s">
        <v>15</v>
      </c>
      <c r="K12" s="18" t="s">
        <v>16</v>
      </c>
      <c r="L12" s="18" t="s">
        <v>17</v>
      </c>
      <c r="M12" s="18" t="s">
        <v>18</v>
      </c>
      <c r="N12" s="18" t="s">
        <v>19</v>
      </c>
      <c r="O12" s="19"/>
      <c r="P12" s="20" t="s">
        <v>8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18" t="s">
        <v>14</v>
      </c>
      <c r="W12" s="18" t="s">
        <v>15</v>
      </c>
      <c r="X12" s="18" t="s">
        <v>16</v>
      </c>
      <c r="Y12" s="18" t="s">
        <v>17</v>
      </c>
      <c r="Z12" s="18" t="s">
        <v>18</v>
      </c>
      <c r="AA12" s="18" t="s">
        <v>19</v>
      </c>
      <c r="AB12" s="19"/>
      <c r="AC12" s="21" t="s">
        <v>20</v>
      </c>
      <c r="AD12" s="22" t="s">
        <v>21</v>
      </c>
      <c r="AE12" s="3"/>
    </row>
    <row r="13" spans="2:31" ht="9" customHeight="1">
      <c r="B13" s="23"/>
      <c r="C13" s="24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7"/>
      <c r="P13" s="24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7"/>
      <c r="AC13" s="3"/>
      <c r="AD13" s="3"/>
      <c r="AE13" s="3"/>
    </row>
    <row r="14" spans="2:31" ht="19.5" customHeight="1">
      <c r="B14" s="28" t="s">
        <v>22</v>
      </c>
      <c r="C14" s="29">
        <f aca="true" t="shared" si="0" ref="C14:AB14">+C15+C58+C84</f>
        <v>10108.1</v>
      </c>
      <c r="D14" s="29">
        <f t="shared" si="0"/>
        <v>9340.2</v>
      </c>
      <c r="E14" s="29">
        <f t="shared" si="0"/>
        <v>10525.199999999999</v>
      </c>
      <c r="F14" s="29">
        <f t="shared" si="0"/>
        <v>11346.099999999999</v>
      </c>
      <c r="G14" s="29">
        <f t="shared" si="0"/>
        <v>10113.099999999999</v>
      </c>
      <c r="H14" s="29">
        <f t="shared" si="0"/>
        <v>10098.199999999999</v>
      </c>
      <c r="I14" s="29">
        <f t="shared" si="0"/>
        <v>10932.199999999999</v>
      </c>
      <c r="J14" s="29">
        <f t="shared" si="0"/>
        <v>11497.699999999999</v>
      </c>
      <c r="K14" s="29">
        <f t="shared" si="0"/>
        <v>9812.2</v>
      </c>
      <c r="L14" s="29">
        <f t="shared" si="0"/>
        <v>9830</v>
      </c>
      <c r="M14" s="29">
        <f t="shared" si="0"/>
        <v>10423.200000000003</v>
      </c>
      <c r="N14" s="29">
        <f t="shared" si="0"/>
        <v>12217</v>
      </c>
      <c r="O14" s="29">
        <f t="shared" si="0"/>
        <v>126243.2</v>
      </c>
      <c r="P14" s="29">
        <f t="shared" si="0"/>
        <v>12309.199999999999</v>
      </c>
      <c r="Q14" s="29">
        <f t="shared" si="0"/>
        <v>10763.300000000001</v>
      </c>
      <c r="R14" s="29">
        <f t="shared" si="0"/>
        <v>12968.900000000001</v>
      </c>
      <c r="S14" s="29">
        <f t="shared" si="0"/>
        <v>13211</v>
      </c>
      <c r="T14" s="29">
        <f t="shared" si="0"/>
        <v>14880.399999999998</v>
      </c>
      <c r="U14" s="29">
        <f t="shared" si="0"/>
        <v>12652.499999999998</v>
      </c>
      <c r="V14" s="29">
        <f t="shared" si="0"/>
        <v>12591.299999999997</v>
      </c>
      <c r="W14" s="29">
        <f t="shared" si="0"/>
        <v>14478.000000000002</v>
      </c>
      <c r="X14" s="29">
        <f t="shared" si="0"/>
        <v>13701.3</v>
      </c>
      <c r="Y14" s="29">
        <f t="shared" si="0"/>
        <v>12702.5</v>
      </c>
      <c r="Z14" s="29">
        <f t="shared" si="0"/>
        <v>12712.300000000001</v>
      </c>
      <c r="AA14" s="29">
        <f t="shared" si="0"/>
        <v>15568.200000000003</v>
      </c>
      <c r="AB14" s="30">
        <f t="shared" si="0"/>
        <v>158538.9</v>
      </c>
      <c r="AC14" s="29">
        <f aca="true" t="shared" si="1" ref="AC14:AC45">+AB14-O14</f>
        <v>32295.699999999997</v>
      </c>
      <c r="AD14" s="31">
        <f aca="true" t="shared" si="2" ref="AD14:AD45">+AC14/O14*100</f>
        <v>25.582130364249323</v>
      </c>
      <c r="AE14" s="3"/>
    </row>
    <row r="15" spans="2:31" ht="21" customHeight="1">
      <c r="B15" s="28" t="s">
        <v>23</v>
      </c>
      <c r="C15" s="29">
        <f aca="true" t="shared" si="3" ref="C15:AB15">+C16+C20+C25+C46+C56+C57</f>
        <v>9480</v>
      </c>
      <c r="D15" s="30">
        <f t="shared" si="3"/>
        <v>8582</v>
      </c>
      <c r="E15" s="30">
        <f t="shared" si="3"/>
        <v>9672.4</v>
      </c>
      <c r="F15" s="30">
        <f t="shared" si="3"/>
        <v>10561.199999999999</v>
      </c>
      <c r="G15" s="30">
        <f t="shared" si="3"/>
        <v>9298.3</v>
      </c>
      <c r="H15" s="30">
        <f t="shared" si="3"/>
        <v>9118.8</v>
      </c>
      <c r="I15" s="30">
        <f t="shared" si="3"/>
        <v>10079.499999999998</v>
      </c>
      <c r="J15" s="30">
        <f t="shared" si="3"/>
        <v>10525.599999999999</v>
      </c>
      <c r="K15" s="30">
        <f t="shared" si="3"/>
        <v>9154.5</v>
      </c>
      <c r="L15" s="30">
        <f t="shared" si="3"/>
        <v>9166.4</v>
      </c>
      <c r="M15" s="30">
        <f t="shared" si="3"/>
        <v>9908.100000000002</v>
      </c>
      <c r="N15" s="30">
        <f t="shared" si="3"/>
        <v>11751.6</v>
      </c>
      <c r="O15" s="30">
        <f t="shared" si="3"/>
        <v>117298.4</v>
      </c>
      <c r="P15" s="29">
        <f t="shared" si="3"/>
        <v>11764.699999999999</v>
      </c>
      <c r="Q15" s="30">
        <f t="shared" si="3"/>
        <v>10201.900000000001</v>
      </c>
      <c r="R15" s="30">
        <f t="shared" si="3"/>
        <v>12285.500000000002</v>
      </c>
      <c r="S15" s="30">
        <f t="shared" si="3"/>
        <v>12551.6</v>
      </c>
      <c r="T15" s="30">
        <f t="shared" si="3"/>
        <v>14317.099999999999</v>
      </c>
      <c r="U15" s="30">
        <f t="shared" si="3"/>
        <v>11976.599999999999</v>
      </c>
      <c r="V15" s="30">
        <f t="shared" si="3"/>
        <v>12102.099999999999</v>
      </c>
      <c r="W15" s="30">
        <f t="shared" si="3"/>
        <v>13668.300000000001</v>
      </c>
      <c r="X15" s="30">
        <f t="shared" si="3"/>
        <v>12963.3</v>
      </c>
      <c r="Y15" s="30">
        <f t="shared" si="3"/>
        <v>12132.2</v>
      </c>
      <c r="Z15" s="30">
        <f t="shared" si="3"/>
        <v>12151.6</v>
      </c>
      <c r="AA15" s="30">
        <f t="shared" si="3"/>
        <v>13522.000000000002</v>
      </c>
      <c r="AB15" s="30">
        <f t="shared" si="3"/>
        <v>149636.9</v>
      </c>
      <c r="AC15" s="29">
        <f t="shared" si="1"/>
        <v>32338.5</v>
      </c>
      <c r="AD15" s="31">
        <f t="shared" si="2"/>
        <v>27.56942976204279</v>
      </c>
      <c r="AE15" s="3"/>
    </row>
    <row r="16" spans="2:31" ht="23.25" customHeight="1">
      <c r="B16" s="32" t="s">
        <v>96</v>
      </c>
      <c r="C16" s="33">
        <f aca="true" t="shared" si="4" ref="C16:AB16">SUM(C17:C19)</f>
        <v>2916.6000000000004</v>
      </c>
      <c r="D16" s="34">
        <f t="shared" si="4"/>
        <v>1620.9999999999998</v>
      </c>
      <c r="E16" s="34">
        <f t="shared" si="4"/>
        <v>1931.1999999999998</v>
      </c>
      <c r="F16" s="34">
        <f t="shared" si="4"/>
        <v>2930.7999999999997</v>
      </c>
      <c r="G16" s="34">
        <f t="shared" si="4"/>
        <v>2062</v>
      </c>
      <c r="H16" s="34">
        <f t="shared" si="4"/>
        <v>2008.8</v>
      </c>
      <c r="I16" s="34">
        <f t="shared" si="4"/>
        <v>1940.8000000000002</v>
      </c>
      <c r="J16" s="34">
        <f t="shared" si="4"/>
        <v>1961.8</v>
      </c>
      <c r="K16" s="34">
        <f t="shared" si="4"/>
        <v>1775.6000000000001</v>
      </c>
      <c r="L16" s="34">
        <f t="shared" si="4"/>
        <v>1703.5</v>
      </c>
      <c r="M16" s="34">
        <f t="shared" si="4"/>
        <v>1679.1</v>
      </c>
      <c r="N16" s="34">
        <f t="shared" si="4"/>
        <v>1842.7</v>
      </c>
      <c r="O16" s="34">
        <f t="shared" si="4"/>
        <v>24373.9</v>
      </c>
      <c r="P16" s="33">
        <f t="shared" si="4"/>
        <v>2561</v>
      </c>
      <c r="Q16" s="34">
        <f t="shared" si="4"/>
        <v>1771.5</v>
      </c>
      <c r="R16" s="34">
        <f t="shared" si="4"/>
        <v>2114.3</v>
      </c>
      <c r="S16" s="34">
        <f t="shared" si="4"/>
        <v>2640.8</v>
      </c>
      <c r="T16" s="34">
        <f t="shared" si="4"/>
        <v>4610.4</v>
      </c>
      <c r="U16" s="34">
        <f t="shared" si="4"/>
        <v>2287.5</v>
      </c>
      <c r="V16" s="34">
        <f t="shared" si="4"/>
        <v>2221.9</v>
      </c>
      <c r="W16" s="34">
        <f t="shared" si="4"/>
        <v>2591.3</v>
      </c>
      <c r="X16" s="34">
        <f t="shared" si="4"/>
        <v>2268.3</v>
      </c>
      <c r="Y16" s="34">
        <f t="shared" si="4"/>
        <v>2276.1</v>
      </c>
      <c r="Z16" s="34">
        <f t="shared" si="4"/>
        <v>2225.3</v>
      </c>
      <c r="AA16" s="34">
        <f t="shared" si="4"/>
        <v>2473.5</v>
      </c>
      <c r="AB16" s="34">
        <f t="shared" si="4"/>
        <v>30041.9</v>
      </c>
      <c r="AC16" s="33">
        <f t="shared" si="1"/>
        <v>5668</v>
      </c>
      <c r="AD16" s="35">
        <f t="shared" si="2"/>
        <v>23.25438276188874</v>
      </c>
      <c r="AE16" s="3"/>
    </row>
    <row r="17" spans="2:31" ht="18.75" customHeight="1">
      <c r="B17" s="36" t="s">
        <v>24</v>
      </c>
      <c r="C17" s="37">
        <v>710.1</v>
      </c>
      <c r="D17" s="38">
        <v>524.4</v>
      </c>
      <c r="E17" s="38">
        <v>653.8</v>
      </c>
      <c r="F17" s="38">
        <v>546.5</v>
      </c>
      <c r="G17" s="38">
        <v>703.9</v>
      </c>
      <c r="H17" s="38">
        <v>573.3</v>
      </c>
      <c r="I17" s="38">
        <v>540.1</v>
      </c>
      <c r="J17" s="38">
        <v>638.2</v>
      </c>
      <c r="K17" s="38">
        <v>496.7</v>
      </c>
      <c r="L17" s="38">
        <v>465.7</v>
      </c>
      <c r="M17" s="38">
        <v>407.2</v>
      </c>
      <c r="N17" s="38">
        <v>450.2</v>
      </c>
      <c r="O17" s="39">
        <f>SUM(C17:N17)</f>
        <v>6710.099999999999</v>
      </c>
      <c r="P17" s="37">
        <v>759.5</v>
      </c>
      <c r="Q17" s="38">
        <v>570</v>
      </c>
      <c r="R17" s="38">
        <v>616.6</v>
      </c>
      <c r="S17" s="38">
        <v>674.4</v>
      </c>
      <c r="T17" s="38">
        <v>726.7</v>
      </c>
      <c r="U17" s="38">
        <v>622.8</v>
      </c>
      <c r="V17" s="38">
        <v>554.1</v>
      </c>
      <c r="W17" s="38">
        <v>707.8</v>
      </c>
      <c r="X17" s="38">
        <v>605.3</v>
      </c>
      <c r="Y17" s="38">
        <v>549.1</v>
      </c>
      <c r="Z17" s="38">
        <v>581.9</v>
      </c>
      <c r="AA17" s="38">
        <v>619.8</v>
      </c>
      <c r="AB17" s="39">
        <f>SUM(P17:AA17)</f>
        <v>7588.000000000001</v>
      </c>
      <c r="AC17" s="40">
        <f t="shared" si="1"/>
        <v>877.9000000000015</v>
      </c>
      <c r="AD17" s="41">
        <f t="shared" si="2"/>
        <v>13.083262544522459</v>
      </c>
      <c r="AE17" s="3"/>
    </row>
    <row r="18" spans="2:31" ht="18.75" customHeight="1">
      <c r="B18" s="36" t="s">
        <v>25</v>
      </c>
      <c r="C18" s="37">
        <v>895.6</v>
      </c>
      <c r="D18" s="38">
        <v>775.3</v>
      </c>
      <c r="E18" s="38">
        <v>811.9</v>
      </c>
      <c r="F18" s="38">
        <v>1987.6</v>
      </c>
      <c r="G18" s="38">
        <v>784.7</v>
      </c>
      <c r="H18" s="38">
        <v>967.2</v>
      </c>
      <c r="I18" s="38">
        <v>908.1</v>
      </c>
      <c r="J18" s="38">
        <v>876.9</v>
      </c>
      <c r="K18" s="38">
        <v>903.7</v>
      </c>
      <c r="L18" s="38">
        <v>868.2</v>
      </c>
      <c r="M18" s="38">
        <v>856.9</v>
      </c>
      <c r="N18" s="38">
        <v>1087.3</v>
      </c>
      <c r="O18" s="39">
        <f>SUM(C18:N18)</f>
        <v>11723.4</v>
      </c>
      <c r="P18" s="37">
        <v>1252.5</v>
      </c>
      <c r="Q18" s="38">
        <v>912.7</v>
      </c>
      <c r="R18" s="38">
        <v>1017.1</v>
      </c>
      <c r="S18" s="38">
        <v>1432.2</v>
      </c>
      <c r="T18" s="38">
        <v>3147</v>
      </c>
      <c r="U18" s="38">
        <v>1154.2</v>
      </c>
      <c r="V18" s="38">
        <v>1227.9</v>
      </c>
      <c r="W18" s="38">
        <v>1329.8</v>
      </c>
      <c r="X18" s="38">
        <v>1194</v>
      </c>
      <c r="Y18" s="38">
        <v>1215</v>
      </c>
      <c r="Z18" s="38">
        <v>1162.6</v>
      </c>
      <c r="AA18" s="38">
        <v>1176.7</v>
      </c>
      <c r="AB18" s="39">
        <f>SUM(P18:AA18)</f>
        <v>16221.7</v>
      </c>
      <c r="AC18" s="40">
        <f t="shared" si="1"/>
        <v>4498.300000000001</v>
      </c>
      <c r="AD18" s="41">
        <f t="shared" si="2"/>
        <v>38.370268010986585</v>
      </c>
      <c r="AE18" s="3"/>
    </row>
    <row r="19" spans="2:31" ht="18.75" customHeight="1">
      <c r="B19" s="36" t="s">
        <v>26</v>
      </c>
      <c r="C19" s="37">
        <v>1310.9</v>
      </c>
      <c r="D19" s="38">
        <v>321.3</v>
      </c>
      <c r="E19" s="38">
        <v>465.5</v>
      </c>
      <c r="F19" s="38">
        <v>396.7</v>
      </c>
      <c r="G19" s="38">
        <v>573.4</v>
      </c>
      <c r="H19" s="38">
        <v>468.3</v>
      </c>
      <c r="I19" s="38">
        <v>492.6</v>
      </c>
      <c r="J19" s="38">
        <v>446.7</v>
      </c>
      <c r="K19" s="38">
        <v>375.2</v>
      </c>
      <c r="L19" s="38">
        <v>369.6</v>
      </c>
      <c r="M19" s="38">
        <v>415</v>
      </c>
      <c r="N19" s="38">
        <v>305.2</v>
      </c>
      <c r="O19" s="39">
        <f>SUM(C19:N19)</f>
        <v>5940.4</v>
      </c>
      <c r="P19" s="37">
        <v>549</v>
      </c>
      <c r="Q19" s="38">
        <v>288.8</v>
      </c>
      <c r="R19" s="38">
        <v>480.6</v>
      </c>
      <c r="S19" s="38">
        <v>534.2</v>
      </c>
      <c r="T19" s="38">
        <v>736.7</v>
      </c>
      <c r="U19" s="38">
        <v>510.5</v>
      </c>
      <c r="V19" s="38">
        <v>439.9</v>
      </c>
      <c r="W19" s="38">
        <v>553.7</v>
      </c>
      <c r="X19" s="38">
        <v>469</v>
      </c>
      <c r="Y19" s="38">
        <v>512</v>
      </c>
      <c r="Z19" s="38">
        <v>480.8</v>
      </c>
      <c r="AA19" s="38">
        <v>677</v>
      </c>
      <c r="AB19" s="39">
        <f>SUM(P19:AA19)</f>
        <v>6232.200000000001</v>
      </c>
      <c r="AC19" s="40">
        <f t="shared" si="1"/>
        <v>291.8000000000011</v>
      </c>
      <c r="AD19" s="41">
        <f t="shared" si="2"/>
        <v>4.912127129486248</v>
      </c>
      <c r="AE19" s="3"/>
    </row>
    <row r="20" spans="2:31" ht="24" customHeight="1">
      <c r="B20" s="32" t="s">
        <v>97</v>
      </c>
      <c r="C20" s="33">
        <f aca="true" t="shared" si="5" ref="C20:N20">ROUND(SUM(C21:C24),1)</f>
        <v>89.6</v>
      </c>
      <c r="D20" s="34">
        <f t="shared" si="5"/>
        <v>143.3</v>
      </c>
      <c r="E20" s="34">
        <f t="shared" si="5"/>
        <v>221.3</v>
      </c>
      <c r="F20" s="34">
        <f t="shared" si="5"/>
        <v>117</v>
      </c>
      <c r="G20" s="34">
        <f t="shared" si="5"/>
        <v>198.7</v>
      </c>
      <c r="H20" s="34">
        <f t="shared" si="5"/>
        <v>134.9</v>
      </c>
      <c r="I20" s="34">
        <f t="shared" si="5"/>
        <v>181.7</v>
      </c>
      <c r="J20" s="34">
        <f t="shared" si="5"/>
        <v>219.3</v>
      </c>
      <c r="K20" s="34">
        <f t="shared" si="5"/>
        <v>233.3</v>
      </c>
      <c r="L20" s="34">
        <f t="shared" si="5"/>
        <v>104.2</v>
      </c>
      <c r="M20" s="34">
        <f t="shared" si="5"/>
        <v>128.7</v>
      </c>
      <c r="N20" s="34">
        <f t="shared" si="5"/>
        <v>168.9</v>
      </c>
      <c r="O20" s="34">
        <f>SUM(O21:O24)</f>
        <v>1940.9</v>
      </c>
      <c r="P20" s="33">
        <f aca="true" t="shared" si="6" ref="P20:AA20">ROUND(SUM(P21:P24),1)</f>
        <v>129.5</v>
      </c>
      <c r="Q20" s="34">
        <f t="shared" si="6"/>
        <v>100.9</v>
      </c>
      <c r="R20" s="34">
        <f t="shared" si="6"/>
        <v>539.5</v>
      </c>
      <c r="S20" s="34">
        <f t="shared" si="6"/>
        <v>479.4</v>
      </c>
      <c r="T20" s="34">
        <f t="shared" si="6"/>
        <v>198.9</v>
      </c>
      <c r="U20" s="34">
        <f t="shared" si="6"/>
        <v>201.6</v>
      </c>
      <c r="V20" s="34">
        <f t="shared" si="6"/>
        <v>174.5</v>
      </c>
      <c r="W20" s="34">
        <f t="shared" si="6"/>
        <v>227.5</v>
      </c>
      <c r="X20" s="34">
        <f t="shared" si="6"/>
        <v>851.2</v>
      </c>
      <c r="Y20" s="34">
        <f t="shared" si="6"/>
        <v>211</v>
      </c>
      <c r="Z20" s="34">
        <f t="shared" si="6"/>
        <v>209.9</v>
      </c>
      <c r="AA20" s="34">
        <f t="shared" si="6"/>
        <v>268.4</v>
      </c>
      <c r="AB20" s="34">
        <f>SUM(AB21:AB24)</f>
        <v>3592.2999999999997</v>
      </c>
      <c r="AC20" s="33">
        <f t="shared" si="1"/>
        <v>1651.3999999999996</v>
      </c>
      <c r="AD20" s="35">
        <f t="shared" si="2"/>
        <v>85.08423927044151</v>
      </c>
      <c r="AE20" s="3"/>
    </row>
    <row r="21" spans="2:31" ht="21" customHeight="1">
      <c r="B21" s="36" t="s">
        <v>27</v>
      </c>
      <c r="C21" s="37">
        <v>36.7</v>
      </c>
      <c r="D21" s="38">
        <v>50.5</v>
      </c>
      <c r="E21" s="38">
        <v>47.2</v>
      </c>
      <c r="F21" s="38">
        <v>38.1</v>
      </c>
      <c r="G21" s="38">
        <v>55.3</v>
      </c>
      <c r="H21" s="38">
        <v>51.5</v>
      </c>
      <c r="I21" s="38">
        <v>75.5</v>
      </c>
      <c r="J21" s="38">
        <v>77.6</v>
      </c>
      <c r="K21" s="38">
        <v>59.5</v>
      </c>
      <c r="L21" s="38">
        <v>62.2</v>
      </c>
      <c r="M21" s="38">
        <v>85.9</v>
      </c>
      <c r="N21" s="38">
        <v>86.4</v>
      </c>
      <c r="O21" s="39">
        <f>SUM(C21:N21)</f>
        <v>726.4</v>
      </c>
      <c r="P21" s="37">
        <v>82.1</v>
      </c>
      <c r="Q21" s="38">
        <v>62.7</v>
      </c>
      <c r="R21" s="38">
        <v>88.3</v>
      </c>
      <c r="S21" s="38">
        <v>103.3</v>
      </c>
      <c r="T21" s="38">
        <v>123.5</v>
      </c>
      <c r="U21" s="38">
        <v>128.2</v>
      </c>
      <c r="V21" s="38">
        <v>110.5</v>
      </c>
      <c r="W21" s="38">
        <v>146.3</v>
      </c>
      <c r="X21" s="38">
        <v>137.1</v>
      </c>
      <c r="Y21" s="38">
        <v>134.3</v>
      </c>
      <c r="Z21" s="38">
        <v>122.5</v>
      </c>
      <c r="AA21" s="38">
        <v>174.1</v>
      </c>
      <c r="AB21" s="39">
        <f>SUM(P21:AA21)</f>
        <v>1412.9</v>
      </c>
      <c r="AC21" s="40">
        <f t="shared" si="1"/>
        <v>686.5000000000001</v>
      </c>
      <c r="AD21" s="41">
        <f t="shared" si="2"/>
        <v>94.50715859030839</v>
      </c>
      <c r="AE21" s="3"/>
    </row>
    <row r="22" spans="2:31" ht="15" customHeight="1">
      <c r="B22" s="36" t="s">
        <v>28</v>
      </c>
      <c r="C22" s="37">
        <v>32</v>
      </c>
      <c r="D22" s="38">
        <v>55.3</v>
      </c>
      <c r="E22" s="38">
        <v>53.2</v>
      </c>
      <c r="F22" s="38">
        <v>40.8</v>
      </c>
      <c r="G22" s="38">
        <v>65.7</v>
      </c>
      <c r="H22" s="38">
        <v>50.4</v>
      </c>
      <c r="I22" s="38">
        <v>71.6</v>
      </c>
      <c r="J22" s="38">
        <v>83.9</v>
      </c>
      <c r="K22" s="38">
        <v>62.7</v>
      </c>
      <c r="L22" s="38">
        <v>10.7</v>
      </c>
      <c r="M22" s="38">
        <v>10.8</v>
      </c>
      <c r="N22" s="38">
        <v>13.7</v>
      </c>
      <c r="O22" s="39">
        <f>SUM(C22:N22)</f>
        <v>550.8000000000001</v>
      </c>
      <c r="P22" s="37">
        <v>13</v>
      </c>
      <c r="Q22" s="38">
        <v>14.2</v>
      </c>
      <c r="R22" s="38">
        <v>15</v>
      </c>
      <c r="S22" s="38">
        <v>14.1</v>
      </c>
      <c r="T22" s="38">
        <v>13.4</v>
      </c>
      <c r="U22" s="38">
        <v>14.7</v>
      </c>
      <c r="V22" s="38">
        <v>16.6</v>
      </c>
      <c r="W22" s="38">
        <v>14.7</v>
      </c>
      <c r="X22" s="38">
        <v>12.8</v>
      </c>
      <c r="Y22" s="38">
        <v>14.2</v>
      </c>
      <c r="Z22" s="38">
        <v>13.8</v>
      </c>
      <c r="AA22" s="38">
        <v>13.3</v>
      </c>
      <c r="AB22" s="39">
        <f>SUM(P22:AA22)</f>
        <v>169.8</v>
      </c>
      <c r="AC22" s="40">
        <f t="shared" si="1"/>
        <v>-381.00000000000006</v>
      </c>
      <c r="AD22" s="41">
        <f t="shared" si="2"/>
        <v>-69.17211328976035</v>
      </c>
      <c r="AE22" s="3"/>
    </row>
    <row r="23" spans="2:31" ht="15" customHeight="1">
      <c r="B23" s="36" t="s">
        <v>29</v>
      </c>
      <c r="C23" s="37">
        <v>5.4</v>
      </c>
      <c r="D23" s="38">
        <v>21.9</v>
      </c>
      <c r="E23" s="38">
        <v>99.4</v>
      </c>
      <c r="F23" s="38">
        <v>13.7</v>
      </c>
      <c r="G23" s="38">
        <v>26.5</v>
      </c>
      <c r="H23" s="38">
        <v>8.9</v>
      </c>
      <c r="I23" s="38">
        <v>12</v>
      </c>
      <c r="J23" s="38">
        <v>21.5</v>
      </c>
      <c r="K23" s="38">
        <v>95</v>
      </c>
      <c r="L23" s="38">
        <v>12.6</v>
      </c>
      <c r="M23" s="38">
        <v>10.7</v>
      </c>
      <c r="N23" s="38">
        <v>10.2</v>
      </c>
      <c r="O23" s="39">
        <f>SUM(C23:N23)</f>
        <v>337.8</v>
      </c>
      <c r="P23" s="37">
        <v>6.9</v>
      </c>
      <c r="Q23" s="38">
        <v>11.6</v>
      </c>
      <c r="R23" s="38">
        <v>417.7</v>
      </c>
      <c r="S23" s="38">
        <v>343.5</v>
      </c>
      <c r="T23" s="38">
        <v>40.1</v>
      </c>
      <c r="U23" s="38">
        <v>28.9</v>
      </c>
      <c r="V23" s="38">
        <v>23.1</v>
      </c>
      <c r="W23" s="38">
        <v>45.3</v>
      </c>
      <c r="X23" s="38">
        <v>672.5</v>
      </c>
      <c r="Y23" s="38">
        <v>41.5</v>
      </c>
      <c r="Z23" s="38">
        <v>41.7</v>
      </c>
      <c r="AA23" s="38">
        <v>36.7</v>
      </c>
      <c r="AB23" s="39">
        <f>SUM(P23:AA23)</f>
        <v>1709.5</v>
      </c>
      <c r="AC23" s="40">
        <f t="shared" si="1"/>
        <v>1371.7</v>
      </c>
      <c r="AD23" s="41">
        <f t="shared" si="2"/>
        <v>406.0686796921255</v>
      </c>
      <c r="AE23" s="3"/>
    </row>
    <row r="24" spans="2:31" ht="15" customHeight="1">
      <c r="B24" s="36" t="s">
        <v>30</v>
      </c>
      <c r="C24" s="37">
        <v>15.5</v>
      </c>
      <c r="D24" s="38">
        <v>15.6</v>
      </c>
      <c r="E24" s="38">
        <v>21.5</v>
      </c>
      <c r="F24" s="38">
        <v>24.4</v>
      </c>
      <c r="G24" s="38">
        <v>51.2</v>
      </c>
      <c r="H24" s="38">
        <v>24.1</v>
      </c>
      <c r="I24" s="38">
        <v>22.6</v>
      </c>
      <c r="J24" s="38">
        <v>36.3</v>
      </c>
      <c r="K24" s="38">
        <v>16.1</v>
      </c>
      <c r="L24" s="38">
        <v>18.7</v>
      </c>
      <c r="M24" s="38">
        <v>21.3</v>
      </c>
      <c r="N24" s="38">
        <v>58.6</v>
      </c>
      <c r="O24" s="39">
        <f>SUM(C24:N24)</f>
        <v>325.9</v>
      </c>
      <c r="P24" s="37">
        <v>27.5</v>
      </c>
      <c r="Q24" s="38">
        <v>12.4</v>
      </c>
      <c r="R24" s="38">
        <v>18.5</v>
      </c>
      <c r="S24" s="38">
        <v>18.5</v>
      </c>
      <c r="T24" s="38">
        <v>21.9</v>
      </c>
      <c r="U24" s="38">
        <v>29.8</v>
      </c>
      <c r="V24" s="38">
        <v>24.3</v>
      </c>
      <c r="W24" s="38">
        <v>21.2</v>
      </c>
      <c r="X24" s="38">
        <v>28.8</v>
      </c>
      <c r="Y24" s="38">
        <v>21</v>
      </c>
      <c r="Z24" s="38">
        <v>31.9</v>
      </c>
      <c r="AA24" s="38">
        <v>44.3</v>
      </c>
      <c r="AB24" s="39">
        <f>SUM(P24:AA24)</f>
        <v>300.1</v>
      </c>
      <c r="AC24" s="40">
        <f t="shared" si="1"/>
        <v>-25.799999999999955</v>
      </c>
      <c r="AD24" s="41">
        <f t="shared" si="2"/>
        <v>-7.9165388155875895</v>
      </c>
      <c r="AE24" s="3"/>
    </row>
    <row r="25" spans="2:31" ht="23.25" customHeight="1">
      <c r="B25" s="32" t="s">
        <v>98</v>
      </c>
      <c r="C25" s="33">
        <f aca="true" t="shared" si="7" ref="C25:N25">ROUND(+C26+C29+C35+C39,1)</f>
        <v>3896.4</v>
      </c>
      <c r="D25" s="34">
        <f t="shared" si="7"/>
        <v>3691.8</v>
      </c>
      <c r="E25" s="34">
        <f t="shared" si="7"/>
        <v>3911.9</v>
      </c>
      <c r="F25" s="34">
        <f t="shared" si="7"/>
        <v>4132.9</v>
      </c>
      <c r="G25" s="34">
        <f t="shared" si="7"/>
        <v>3642.5</v>
      </c>
      <c r="H25" s="34">
        <f t="shared" si="7"/>
        <v>3801.6</v>
      </c>
      <c r="I25" s="34">
        <f t="shared" si="7"/>
        <v>4598.7</v>
      </c>
      <c r="J25" s="34">
        <f t="shared" si="7"/>
        <v>4636.5</v>
      </c>
      <c r="K25" s="34">
        <f t="shared" si="7"/>
        <v>4613.2</v>
      </c>
      <c r="L25" s="34">
        <f t="shared" si="7"/>
        <v>4805.6</v>
      </c>
      <c r="M25" s="34">
        <f t="shared" si="7"/>
        <v>5365.8</v>
      </c>
      <c r="N25" s="34">
        <f t="shared" si="7"/>
        <v>6371.3</v>
      </c>
      <c r="O25" s="34">
        <f>+O26+O29+O35+O39</f>
        <v>53468.2</v>
      </c>
      <c r="P25" s="33">
        <f aca="true" t="shared" si="8" ref="P25:AA25">ROUND(+P26+P29+P35+P39,1)</f>
        <v>6589</v>
      </c>
      <c r="Q25" s="34">
        <f t="shared" si="8"/>
        <v>5822.3</v>
      </c>
      <c r="R25" s="34">
        <f t="shared" si="8"/>
        <v>5865.8</v>
      </c>
      <c r="S25" s="34">
        <f t="shared" si="8"/>
        <v>6318.2</v>
      </c>
      <c r="T25" s="34">
        <f t="shared" si="8"/>
        <v>6543.4</v>
      </c>
      <c r="U25" s="34">
        <f t="shared" si="8"/>
        <v>6277.2</v>
      </c>
      <c r="V25" s="34">
        <f t="shared" si="8"/>
        <v>6439.4</v>
      </c>
      <c r="W25" s="34">
        <f t="shared" si="8"/>
        <v>7476.4</v>
      </c>
      <c r="X25" s="34">
        <f t="shared" si="8"/>
        <v>6493</v>
      </c>
      <c r="Y25" s="34">
        <f t="shared" si="8"/>
        <v>6247.4</v>
      </c>
      <c r="Z25" s="34">
        <f t="shared" si="8"/>
        <v>6645.8</v>
      </c>
      <c r="AA25" s="34">
        <f t="shared" si="8"/>
        <v>7281.3</v>
      </c>
      <c r="AB25" s="34">
        <f>+AB26+AB29+AB35+AB39</f>
        <v>77999.19999999998</v>
      </c>
      <c r="AC25" s="33">
        <f t="shared" si="1"/>
        <v>24530.999999999985</v>
      </c>
      <c r="AD25" s="35">
        <f t="shared" si="2"/>
        <v>45.87960694394049</v>
      </c>
      <c r="AE25" s="3"/>
    </row>
    <row r="26" spans="2:31" ht="21" customHeight="1">
      <c r="B26" s="42" t="s">
        <v>31</v>
      </c>
      <c r="C26" s="43">
        <f aca="true" t="shared" si="9" ref="C26:AB26">SUM(C27:C28)</f>
        <v>2084.1</v>
      </c>
      <c r="D26" s="44">
        <f t="shared" si="9"/>
        <v>2261.1</v>
      </c>
      <c r="E26" s="44">
        <f t="shared" si="9"/>
        <v>2417.3</v>
      </c>
      <c r="F26" s="44">
        <f t="shared" si="9"/>
        <v>2472.1</v>
      </c>
      <c r="G26" s="44">
        <f t="shared" si="9"/>
        <v>2294.2</v>
      </c>
      <c r="H26" s="44">
        <f t="shared" si="9"/>
        <v>2354.1</v>
      </c>
      <c r="I26" s="44">
        <f t="shared" si="9"/>
        <v>2673.9</v>
      </c>
      <c r="J26" s="44">
        <f t="shared" si="9"/>
        <v>2890.2</v>
      </c>
      <c r="K26" s="44">
        <f t="shared" si="9"/>
        <v>2557.1</v>
      </c>
      <c r="L26" s="44">
        <f t="shared" si="9"/>
        <v>2659.5</v>
      </c>
      <c r="M26" s="44">
        <f t="shared" si="9"/>
        <v>2896.4</v>
      </c>
      <c r="N26" s="44">
        <f t="shared" si="9"/>
        <v>3043.2</v>
      </c>
      <c r="O26" s="44">
        <f t="shared" si="9"/>
        <v>30603.199999999997</v>
      </c>
      <c r="P26" s="43">
        <f t="shared" si="9"/>
        <v>3260.8</v>
      </c>
      <c r="Q26" s="44">
        <f t="shared" si="9"/>
        <v>3069.6000000000004</v>
      </c>
      <c r="R26" s="44">
        <f t="shared" si="9"/>
        <v>3162.2</v>
      </c>
      <c r="S26" s="44">
        <f t="shared" si="9"/>
        <v>3280.8999999999996</v>
      </c>
      <c r="T26" s="44">
        <f t="shared" si="9"/>
        <v>3344</v>
      </c>
      <c r="U26" s="44">
        <f t="shared" si="9"/>
        <v>3392.3</v>
      </c>
      <c r="V26" s="44">
        <f t="shared" si="9"/>
        <v>3590.6000000000004</v>
      </c>
      <c r="W26" s="44">
        <f t="shared" si="9"/>
        <v>3808.3999999999996</v>
      </c>
      <c r="X26" s="44">
        <f t="shared" si="9"/>
        <v>3596.5</v>
      </c>
      <c r="Y26" s="44">
        <f t="shared" si="9"/>
        <v>3509</v>
      </c>
      <c r="Z26" s="44">
        <f t="shared" si="9"/>
        <v>3552.2</v>
      </c>
      <c r="AA26" s="44">
        <f t="shared" si="9"/>
        <v>3801.5</v>
      </c>
      <c r="AB26" s="44">
        <f t="shared" si="9"/>
        <v>41368</v>
      </c>
      <c r="AC26" s="43">
        <f t="shared" si="1"/>
        <v>10764.800000000003</v>
      </c>
      <c r="AD26" s="45">
        <f t="shared" si="2"/>
        <v>35.17540649343861</v>
      </c>
      <c r="AE26" s="3"/>
    </row>
    <row r="27" spans="2:31" ht="17.25" customHeight="1">
      <c r="B27" s="46" t="s">
        <v>32</v>
      </c>
      <c r="C27" s="37">
        <v>1452.6</v>
      </c>
      <c r="D27" s="38">
        <v>1397</v>
      </c>
      <c r="E27" s="38">
        <v>1435.5</v>
      </c>
      <c r="F27" s="38">
        <v>1576.8</v>
      </c>
      <c r="G27" s="38">
        <v>1400.1</v>
      </c>
      <c r="H27" s="38">
        <v>1413.3</v>
      </c>
      <c r="I27" s="38">
        <v>1542.9</v>
      </c>
      <c r="J27" s="38">
        <v>1754.6</v>
      </c>
      <c r="K27" s="38">
        <v>1578.3</v>
      </c>
      <c r="L27" s="38">
        <v>1565.1</v>
      </c>
      <c r="M27" s="38">
        <v>1697.5</v>
      </c>
      <c r="N27" s="38">
        <v>1854.6</v>
      </c>
      <c r="O27" s="39">
        <f>SUM(C27:N27)</f>
        <v>18668.299999999996</v>
      </c>
      <c r="P27" s="37">
        <v>2249.6</v>
      </c>
      <c r="Q27" s="38">
        <v>1886.2</v>
      </c>
      <c r="R27" s="38">
        <v>2046.8</v>
      </c>
      <c r="S27" s="38">
        <v>2062.2</v>
      </c>
      <c r="T27" s="38">
        <v>2047.6</v>
      </c>
      <c r="U27" s="38">
        <v>2082.8</v>
      </c>
      <c r="V27" s="38">
        <v>2201.3</v>
      </c>
      <c r="W27" s="38">
        <v>2271.2</v>
      </c>
      <c r="X27" s="38">
        <v>2204.7</v>
      </c>
      <c r="Y27" s="38">
        <v>2002.3</v>
      </c>
      <c r="Z27" s="38">
        <v>2032.2</v>
      </c>
      <c r="AA27" s="38">
        <v>2218.2</v>
      </c>
      <c r="AB27" s="39">
        <f>SUM(P27:AA27)</f>
        <v>25305.100000000002</v>
      </c>
      <c r="AC27" s="40">
        <f t="shared" si="1"/>
        <v>6636.800000000007</v>
      </c>
      <c r="AD27" s="41">
        <f t="shared" si="2"/>
        <v>35.55117498647444</v>
      </c>
      <c r="AE27" s="3"/>
    </row>
    <row r="28" spans="2:31" ht="18" customHeight="1">
      <c r="B28" s="46" t="s">
        <v>33</v>
      </c>
      <c r="C28" s="37">
        <v>631.5</v>
      </c>
      <c r="D28" s="38">
        <v>864.1</v>
      </c>
      <c r="E28" s="38">
        <v>981.8</v>
      </c>
      <c r="F28" s="38">
        <v>895.3</v>
      </c>
      <c r="G28" s="38">
        <v>894.1</v>
      </c>
      <c r="H28" s="38">
        <v>940.8</v>
      </c>
      <c r="I28" s="38">
        <v>1131</v>
      </c>
      <c r="J28" s="38">
        <v>1135.6</v>
      </c>
      <c r="K28" s="38">
        <v>978.8</v>
      </c>
      <c r="L28" s="38">
        <v>1094.4</v>
      </c>
      <c r="M28" s="38">
        <v>1198.9</v>
      </c>
      <c r="N28" s="38">
        <v>1188.6</v>
      </c>
      <c r="O28" s="39">
        <f>SUM(C28:N28)</f>
        <v>11934.9</v>
      </c>
      <c r="P28" s="37">
        <v>1011.2</v>
      </c>
      <c r="Q28" s="38">
        <v>1183.4</v>
      </c>
      <c r="R28" s="38">
        <v>1115.4</v>
      </c>
      <c r="S28" s="38">
        <v>1218.7</v>
      </c>
      <c r="T28" s="38">
        <v>1296.4</v>
      </c>
      <c r="U28" s="38">
        <v>1309.5</v>
      </c>
      <c r="V28" s="38">
        <v>1389.3</v>
      </c>
      <c r="W28" s="38">
        <v>1537.2</v>
      </c>
      <c r="X28" s="38">
        <v>1391.8</v>
      </c>
      <c r="Y28" s="38">
        <v>1506.7</v>
      </c>
      <c r="Z28" s="38">
        <v>1520</v>
      </c>
      <c r="AA28" s="38">
        <v>1583.3</v>
      </c>
      <c r="AB28" s="39">
        <f>SUM(P28:AA28)</f>
        <v>16062.9</v>
      </c>
      <c r="AC28" s="40">
        <f t="shared" si="1"/>
        <v>4128</v>
      </c>
      <c r="AD28" s="41">
        <f t="shared" si="2"/>
        <v>34.58763793580172</v>
      </c>
      <c r="AE28" s="3"/>
    </row>
    <row r="29" spans="2:31" ht="23.25" customHeight="1">
      <c r="B29" s="42" t="s">
        <v>34</v>
      </c>
      <c r="C29" s="43">
        <f aca="true" t="shared" si="10" ref="C29:N29">ROUND(SUM(C30:C34),1)</f>
        <v>1541.3</v>
      </c>
      <c r="D29" s="44">
        <f t="shared" si="10"/>
        <v>1230.6</v>
      </c>
      <c r="E29" s="44">
        <f t="shared" si="10"/>
        <v>1301.3</v>
      </c>
      <c r="F29" s="44">
        <f t="shared" si="10"/>
        <v>1507.9</v>
      </c>
      <c r="G29" s="44">
        <f t="shared" si="10"/>
        <v>1196</v>
      </c>
      <c r="H29" s="44">
        <f t="shared" si="10"/>
        <v>1299</v>
      </c>
      <c r="I29" s="44">
        <f t="shared" si="10"/>
        <v>1746.2</v>
      </c>
      <c r="J29" s="44">
        <f t="shared" si="10"/>
        <v>1587.5</v>
      </c>
      <c r="K29" s="44">
        <f t="shared" si="10"/>
        <v>1875.7</v>
      </c>
      <c r="L29" s="44">
        <f t="shared" si="10"/>
        <v>1726.8</v>
      </c>
      <c r="M29" s="44">
        <f t="shared" si="10"/>
        <v>1948.9</v>
      </c>
      <c r="N29" s="44">
        <f t="shared" si="10"/>
        <v>2641.4</v>
      </c>
      <c r="O29" s="44">
        <f>SUM(O30:O34)</f>
        <v>19602.6</v>
      </c>
      <c r="P29" s="43">
        <f aca="true" t="shared" si="11" ref="P29:AA29">ROUND(SUM(P30:P34),1)</f>
        <v>2648.5</v>
      </c>
      <c r="Q29" s="44">
        <f t="shared" si="11"/>
        <v>2077.1</v>
      </c>
      <c r="R29" s="44">
        <f t="shared" si="11"/>
        <v>2038.2</v>
      </c>
      <c r="S29" s="44">
        <f t="shared" si="11"/>
        <v>1796.4</v>
      </c>
      <c r="T29" s="44">
        <f t="shared" si="11"/>
        <v>2631.8</v>
      </c>
      <c r="U29" s="44">
        <f t="shared" si="11"/>
        <v>2107.6</v>
      </c>
      <c r="V29" s="44">
        <f t="shared" si="11"/>
        <v>2044</v>
      </c>
      <c r="W29" s="44">
        <f t="shared" si="11"/>
        <v>2533.4</v>
      </c>
      <c r="X29" s="44">
        <f t="shared" si="11"/>
        <v>2118.5</v>
      </c>
      <c r="Y29" s="44">
        <f t="shared" si="11"/>
        <v>1971.9</v>
      </c>
      <c r="Z29" s="44">
        <f t="shared" si="11"/>
        <v>2392.6</v>
      </c>
      <c r="AA29" s="44">
        <f t="shared" si="11"/>
        <v>2628.4</v>
      </c>
      <c r="AB29" s="44">
        <f>SUM(AB30:AB34)</f>
        <v>26988.399999999998</v>
      </c>
      <c r="AC29" s="43">
        <f t="shared" si="1"/>
        <v>7385.799999999999</v>
      </c>
      <c r="AD29" s="45">
        <f t="shared" si="2"/>
        <v>37.67765500494832</v>
      </c>
      <c r="AE29" s="3"/>
    </row>
    <row r="30" spans="2:31" ht="18.75" customHeight="1">
      <c r="B30" s="46" t="s">
        <v>35</v>
      </c>
      <c r="C30" s="37">
        <v>371.7</v>
      </c>
      <c r="D30" s="38">
        <v>207.6</v>
      </c>
      <c r="E30" s="38">
        <v>234.2</v>
      </c>
      <c r="F30" s="38">
        <v>214.4</v>
      </c>
      <c r="G30" s="38">
        <v>224.5</v>
      </c>
      <c r="H30" s="38">
        <v>266.4</v>
      </c>
      <c r="I30" s="38">
        <v>292.5</v>
      </c>
      <c r="J30" s="38">
        <v>334.4</v>
      </c>
      <c r="K30" s="38">
        <v>281.8</v>
      </c>
      <c r="L30" s="38">
        <v>320.6</v>
      </c>
      <c r="M30" s="38">
        <v>374.4</v>
      </c>
      <c r="N30" s="38">
        <v>429.3</v>
      </c>
      <c r="O30" s="39">
        <f>SUM(C30:N30)</f>
        <v>3551.8000000000006</v>
      </c>
      <c r="P30" s="37">
        <v>950.1</v>
      </c>
      <c r="Q30" s="38">
        <v>620.8</v>
      </c>
      <c r="R30" s="38">
        <v>581.5</v>
      </c>
      <c r="S30" s="38">
        <v>534.3</v>
      </c>
      <c r="T30" s="38">
        <v>216.2</v>
      </c>
      <c r="U30" s="38">
        <v>597.9</v>
      </c>
      <c r="V30" s="38">
        <v>642.1</v>
      </c>
      <c r="W30" s="38">
        <v>728.6</v>
      </c>
      <c r="X30" s="38">
        <v>782.3</v>
      </c>
      <c r="Y30" s="38">
        <v>707.6</v>
      </c>
      <c r="Z30" s="38">
        <v>705.1</v>
      </c>
      <c r="AA30" s="38">
        <v>1075.4</v>
      </c>
      <c r="AB30" s="39">
        <f aca="true" t="shared" si="12" ref="AB30:AB38">SUM(P30:AA30)</f>
        <v>8141.9000000000015</v>
      </c>
      <c r="AC30" s="40">
        <f t="shared" si="1"/>
        <v>4590.1</v>
      </c>
      <c r="AD30" s="41">
        <f t="shared" si="2"/>
        <v>129.23306492482683</v>
      </c>
      <c r="AE30" s="3"/>
    </row>
    <row r="31" spans="2:31" ht="15" customHeight="1">
      <c r="B31" s="46" t="s">
        <v>36</v>
      </c>
      <c r="C31" s="37">
        <v>148.7</v>
      </c>
      <c r="D31" s="38">
        <v>126.5</v>
      </c>
      <c r="E31" s="38">
        <v>82.3</v>
      </c>
      <c r="F31" s="38">
        <v>143.5</v>
      </c>
      <c r="G31" s="38">
        <v>208.5</v>
      </c>
      <c r="H31" s="38">
        <v>97.9</v>
      </c>
      <c r="I31" s="38">
        <v>121.2</v>
      </c>
      <c r="J31" s="38">
        <v>133.6</v>
      </c>
      <c r="K31" s="38">
        <v>126.3</v>
      </c>
      <c r="L31" s="38">
        <v>159.5</v>
      </c>
      <c r="M31" s="38">
        <v>119.1</v>
      </c>
      <c r="N31" s="38">
        <v>148.1</v>
      </c>
      <c r="O31" s="39">
        <f>SUM(C31:N31)</f>
        <v>1615.1999999999998</v>
      </c>
      <c r="P31" s="37">
        <v>226.4</v>
      </c>
      <c r="Q31" s="38">
        <v>178.3</v>
      </c>
      <c r="R31" s="38">
        <v>169.2</v>
      </c>
      <c r="S31" s="38">
        <v>33.5</v>
      </c>
      <c r="T31" s="38">
        <v>938.3</v>
      </c>
      <c r="U31" s="38">
        <v>172.7</v>
      </c>
      <c r="V31" s="38">
        <v>164.1</v>
      </c>
      <c r="W31" s="38">
        <v>189.1</v>
      </c>
      <c r="X31" s="38">
        <v>251.8</v>
      </c>
      <c r="Y31" s="38">
        <v>151.5</v>
      </c>
      <c r="Z31" s="38">
        <v>234.4</v>
      </c>
      <c r="AA31" s="38">
        <v>169.5</v>
      </c>
      <c r="AB31" s="39">
        <f t="shared" si="12"/>
        <v>2878.8</v>
      </c>
      <c r="AC31" s="40">
        <f t="shared" si="1"/>
        <v>1263.6000000000004</v>
      </c>
      <c r="AD31" s="41">
        <f t="shared" si="2"/>
        <v>78.23179791976229</v>
      </c>
      <c r="AE31" s="3"/>
    </row>
    <row r="32" spans="2:31" ht="15" customHeight="1">
      <c r="B32" s="46" t="s">
        <v>37</v>
      </c>
      <c r="C32" s="37">
        <v>750.1</v>
      </c>
      <c r="D32" s="38">
        <v>724.5</v>
      </c>
      <c r="E32" s="38">
        <v>790.2</v>
      </c>
      <c r="F32" s="38">
        <v>860.2</v>
      </c>
      <c r="G32" s="38">
        <v>530.9</v>
      </c>
      <c r="H32" s="38">
        <v>688.9</v>
      </c>
      <c r="I32" s="38">
        <v>1027.2</v>
      </c>
      <c r="J32" s="38">
        <v>777.5</v>
      </c>
      <c r="K32" s="38">
        <v>1159.4</v>
      </c>
      <c r="L32" s="38">
        <v>984.8</v>
      </c>
      <c r="M32" s="38">
        <v>1098.1</v>
      </c>
      <c r="N32" s="38">
        <v>1690.4</v>
      </c>
      <c r="O32" s="39">
        <f>SUM(C32:N32)</f>
        <v>11082.199999999999</v>
      </c>
      <c r="P32" s="37">
        <v>1415.5</v>
      </c>
      <c r="Q32" s="38">
        <v>1203.3</v>
      </c>
      <c r="R32" s="38">
        <v>1206.2</v>
      </c>
      <c r="S32" s="38">
        <v>1113.4</v>
      </c>
      <c r="T32" s="38">
        <v>1388.4</v>
      </c>
      <c r="U32" s="38">
        <v>1208.1</v>
      </c>
      <c r="V32" s="38">
        <v>1102.7</v>
      </c>
      <c r="W32" s="38">
        <v>1491</v>
      </c>
      <c r="X32" s="38">
        <v>985</v>
      </c>
      <c r="Y32" s="38">
        <v>1018.8</v>
      </c>
      <c r="Z32" s="38">
        <v>1320.8</v>
      </c>
      <c r="AA32" s="38">
        <v>1258.9</v>
      </c>
      <c r="AB32" s="39">
        <f t="shared" si="12"/>
        <v>14712.099999999999</v>
      </c>
      <c r="AC32" s="40">
        <f t="shared" si="1"/>
        <v>3629.8999999999996</v>
      </c>
      <c r="AD32" s="41">
        <f t="shared" si="2"/>
        <v>32.7543267582249</v>
      </c>
      <c r="AE32" s="3"/>
    </row>
    <row r="33" spans="2:31" ht="15" customHeight="1">
      <c r="B33" s="46" t="s">
        <v>38</v>
      </c>
      <c r="C33" s="37">
        <v>221.1</v>
      </c>
      <c r="D33" s="38">
        <v>136.8</v>
      </c>
      <c r="E33" s="38">
        <v>135.2</v>
      </c>
      <c r="F33" s="38">
        <v>149.8</v>
      </c>
      <c r="G33" s="38">
        <v>176.1</v>
      </c>
      <c r="H33" s="38">
        <v>155.7</v>
      </c>
      <c r="I33" s="38">
        <v>173.2</v>
      </c>
      <c r="J33" s="38">
        <v>179.7</v>
      </c>
      <c r="K33" s="38">
        <v>153.6</v>
      </c>
      <c r="L33" s="38">
        <v>185.6</v>
      </c>
      <c r="M33" s="38">
        <v>211.3</v>
      </c>
      <c r="N33" s="38">
        <v>243.9</v>
      </c>
      <c r="O33" s="39">
        <f>SUM(C33:N33)</f>
        <v>2122</v>
      </c>
      <c r="P33" s="37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9">
        <f t="shared" si="12"/>
        <v>0</v>
      </c>
      <c r="AC33" s="40">
        <f t="shared" si="1"/>
        <v>-2122</v>
      </c>
      <c r="AD33" s="41">
        <f t="shared" si="2"/>
        <v>-100</v>
      </c>
      <c r="AE33" s="3"/>
    </row>
    <row r="34" spans="2:31" ht="15" customHeight="1">
      <c r="B34" s="46" t="s">
        <v>30</v>
      </c>
      <c r="C34" s="37">
        <v>49.7</v>
      </c>
      <c r="D34" s="38">
        <v>35.2</v>
      </c>
      <c r="E34" s="38">
        <v>59.4</v>
      </c>
      <c r="F34" s="38">
        <v>140</v>
      </c>
      <c r="G34" s="38">
        <v>56</v>
      </c>
      <c r="H34" s="38">
        <v>90.1</v>
      </c>
      <c r="I34" s="38">
        <v>132.1</v>
      </c>
      <c r="J34" s="38">
        <v>162.3</v>
      </c>
      <c r="K34" s="38">
        <v>154.6</v>
      </c>
      <c r="L34" s="38">
        <v>76.3</v>
      </c>
      <c r="M34" s="38">
        <v>146</v>
      </c>
      <c r="N34" s="38">
        <v>129.7</v>
      </c>
      <c r="O34" s="39">
        <f>SUM(C34:N34)</f>
        <v>1231.3999999999999</v>
      </c>
      <c r="P34" s="37">
        <v>56.5</v>
      </c>
      <c r="Q34" s="38">
        <v>74.7</v>
      </c>
      <c r="R34" s="38">
        <v>81.3</v>
      </c>
      <c r="S34" s="38">
        <v>115.2</v>
      </c>
      <c r="T34" s="38">
        <v>88.9</v>
      </c>
      <c r="U34" s="38">
        <v>128.9</v>
      </c>
      <c r="V34" s="38">
        <v>135.1</v>
      </c>
      <c r="W34" s="38">
        <v>124.7</v>
      </c>
      <c r="X34" s="38">
        <v>99.4</v>
      </c>
      <c r="Y34" s="38">
        <v>94</v>
      </c>
      <c r="Z34" s="38">
        <v>132.3</v>
      </c>
      <c r="AA34" s="38">
        <v>124.6</v>
      </c>
      <c r="AB34" s="39">
        <f t="shared" si="12"/>
        <v>1255.6</v>
      </c>
      <c r="AC34" s="40">
        <f t="shared" si="1"/>
        <v>24.200000000000045</v>
      </c>
      <c r="AD34" s="41">
        <f t="shared" si="2"/>
        <v>1.9652428130583117</v>
      </c>
      <c r="AE34" s="3"/>
    </row>
    <row r="35" spans="2:70" ht="19.5" customHeight="1">
      <c r="B35" s="42" t="s">
        <v>39</v>
      </c>
      <c r="C35" s="43">
        <f aca="true" t="shared" si="13" ref="C35:AA35">SUM(C36:C38)</f>
        <v>0.2</v>
      </c>
      <c r="D35" s="43">
        <f t="shared" si="13"/>
        <v>1.3</v>
      </c>
      <c r="E35" s="43">
        <f t="shared" si="13"/>
        <v>0.9</v>
      </c>
      <c r="F35" s="43">
        <f t="shared" si="13"/>
        <v>1</v>
      </c>
      <c r="G35" s="43">
        <f t="shared" si="13"/>
        <v>0.7</v>
      </c>
      <c r="H35" s="43">
        <f t="shared" si="13"/>
        <v>0.7</v>
      </c>
      <c r="I35" s="43">
        <f t="shared" si="13"/>
        <v>2.7</v>
      </c>
      <c r="J35" s="43">
        <f t="shared" si="13"/>
        <v>0.2</v>
      </c>
      <c r="K35" s="43">
        <f t="shared" si="13"/>
        <v>0.5</v>
      </c>
      <c r="L35" s="43">
        <f t="shared" si="13"/>
        <v>273.79999999999995</v>
      </c>
      <c r="M35" s="43">
        <f t="shared" si="13"/>
        <v>398.6</v>
      </c>
      <c r="N35" s="43">
        <f t="shared" si="13"/>
        <v>574.8</v>
      </c>
      <c r="O35" s="43">
        <f t="shared" si="13"/>
        <v>1255.4</v>
      </c>
      <c r="P35" s="43">
        <f t="shared" si="13"/>
        <v>515.3</v>
      </c>
      <c r="Q35" s="43">
        <f t="shared" si="13"/>
        <v>487.7</v>
      </c>
      <c r="R35" s="43">
        <f t="shared" si="13"/>
        <v>482.09999999999997</v>
      </c>
      <c r="S35" s="43">
        <f t="shared" si="13"/>
        <v>1025.7</v>
      </c>
      <c r="T35" s="43">
        <f t="shared" si="13"/>
        <v>285.5</v>
      </c>
      <c r="U35" s="43">
        <f t="shared" si="13"/>
        <v>462.79999999999995</v>
      </c>
      <c r="V35" s="43">
        <f t="shared" si="13"/>
        <v>487.9</v>
      </c>
      <c r="W35" s="43">
        <f t="shared" si="13"/>
        <v>526.6999999999999</v>
      </c>
      <c r="X35" s="43">
        <f t="shared" si="13"/>
        <v>487.2</v>
      </c>
      <c r="Y35" s="43">
        <f t="shared" si="13"/>
        <v>553.5</v>
      </c>
      <c r="Z35" s="43">
        <f t="shared" si="13"/>
        <v>484.7</v>
      </c>
      <c r="AA35" s="43">
        <f t="shared" si="13"/>
        <v>539.3</v>
      </c>
      <c r="AB35" s="44">
        <f t="shared" si="12"/>
        <v>6338.400000000001</v>
      </c>
      <c r="AC35" s="43">
        <f t="shared" si="1"/>
        <v>5083</v>
      </c>
      <c r="AD35" s="45">
        <f t="shared" si="2"/>
        <v>404.890871435399</v>
      </c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2:70" ht="18" customHeight="1">
      <c r="B36" s="46" t="s">
        <v>40</v>
      </c>
      <c r="C36" s="37">
        <v>0</v>
      </c>
      <c r="D36" s="37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273.4</v>
      </c>
      <c r="M36" s="38">
        <v>258.2</v>
      </c>
      <c r="N36" s="38">
        <v>358.5</v>
      </c>
      <c r="O36" s="39">
        <f>SUM(C36:N36)</f>
        <v>890.0999999999999</v>
      </c>
      <c r="P36" s="37">
        <v>291.1</v>
      </c>
      <c r="Q36" s="38">
        <v>246.4</v>
      </c>
      <c r="R36" s="38">
        <v>251.8</v>
      </c>
      <c r="S36" s="38">
        <v>238.4</v>
      </c>
      <c r="T36" s="38">
        <v>284.3</v>
      </c>
      <c r="U36" s="38">
        <v>229.7</v>
      </c>
      <c r="V36" s="38">
        <v>238.4</v>
      </c>
      <c r="W36" s="38">
        <v>286.2</v>
      </c>
      <c r="X36" s="38">
        <v>243.8</v>
      </c>
      <c r="Y36" s="38">
        <v>293</v>
      </c>
      <c r="Z36" s="38">
        <v>242</v>
      </c>
      <c r="AA36" s="38">
        <v>287.8</v>
      </c>
      <c r="AB36" s="39">
        <f t="shared" si="12"/>
        <v>3132.9000000000005</v>
      </c>
      <c r="AC36" s="40">
        <f t="shared" si="1"/>
        <v>2242.8000000000006</v>
      </c>
      <c r="AD36" s="41">
        <f t="shared" si="2"/>
        <v>251.9716885743176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2:70" ht="16.5" customHeight="1">
      <c r="B37" s="46" t="s">
        <v>41</v>
      </c>
      <c r="C37" s="37">
        <v>0</v>
      </c>
      <c r="D37" s="37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139.9</v>
      </c>
      <c r="N37" s="38">
        <v>215.5</v>
      </c>
      <c r="O37" s="39">
        <f>SUM(C37:N37)</f>
        <v>355.4</v>
      </c>
      <c r="P37" s="37">
        <v>223.7</v>
      </c>
      <c r="Q37" s="38">
        <v>241</v>
      </c>
      <c r="R37" s="38">
        <v>230.1</v>
      </c>
      <c r="S37" s="38">
        <v>786.8</v>
      </c>
      <c r="T37" s="38">
        <v>0.9</v>
      </c>
      <c r="U37" s="38">
        <v>232.7</v>
      </c>
      <c r="V37" s="38">
        <v>248.5</v>
      </c>
      <c r="W37" s="38">
        <v>240.1</v>
      </c>
      <c r="X37" s="38">
        <v>243</v>
      </c>
      <c r="Y37" s="38">
        <v>254.1</v>
      </c>
      <c r="Z37" s="38">
        <v>242.4</v>
      </c>
      <c r="AA37" s="38">
        <v>250.1</v>
      </c>
      <c r="AB37" s="39">
        <f t="shared" si="12"/>
        <v>3193.4</v>
      </c>
      <c r="AC37" s="40">
        <f t="shared" si="1"/>
        <v>2838</v>
      </c>
      <c r="AD37" s="41">
        <f t="shared" si="2"/>
        <v>798.5368598761959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2:70" ht="15.75" customHeight="1">
      <c r="B38" s="46" t="s">
        <v>30</v>
      </c>
      <c r="C38" s="37">
        <v>0.2</v>
      </c>
      <c r="D38" s="37">
        <v>1.3</v>
      </c>
      <c r="E38" s="38">
        <v>0.9</v>
      </c>
      <c r="F38" s="38">
        <v>1</v>
      </c>
      <c r="G38" s="38">
        <v>0.7</v>
      </c>
      <c r="H38" s="38">
        <v>0.7</v>
      </c>
      <c r="I38" s="38">
        <v>2.7</v>
      </c>
      <c r="J38" s="38">
        <v>0.2</v>
      </c>
      <c r="K38" s="38">
        <v>0.5</v>
      </c>
      <c r="L38" s="38">
        <v>0.4</v>
      </c>
      <c r="M38" s="38">
        <v>0.5</v>
      </c>
      <c r="N38" s="38">
        <v>0.8</v>
      </c>
      <c r="O38" s="39">
        <f>SUM(C38:N38)</f>
        <v>9.9</v>
      </c>
      <c r="P38" s="37">
        <v>0.5</v>
      </c>
      <c r="Q38" s="38">
        <v>0.3</v>
      </c>
      <c r="R38" s="38">
        <v>0.2</v>
      </c>
      <c r="S38" s="38">
        <v>0.5</v>
      </c>
      <c r="T38" s="38">
        <v>0.3</v>
      </c>
      <c r="U38" s="38">
        <v>0.4</v>
      </c>
      <c r="V38" s="38">
        <v>1</v>
      </c>
      <c r="W38" s="38">
        <v>0.4</v>
      </c>
      <c r="X38" s="38">
        <v>0.4</v>
      </c>
      <c r="Y38" s="38">
        <v>6.4</v>
      </c>
      <c r="Z38" s="38">
        <v>0.3</v>
      </c>
      <c r="AA38" s="38">
        <v>1.4</v>
      </c>
      <c r="AB38" s="39">
        <f t="shared" si="12"/>
        <v>12.100000000000001</v>
      </c>
      <c r="AC38" s="40">
        <f t="shared" si="1"/>
        <v>2.200000000000001</v>
      </c>
      <c r="AD38" s="41">
        <f t="shared" si="2"/>
        <v>22.222222222222232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2:31" ht="21.75" customHeight="1">
      <c r="B39" s="42" t="s">
        <v>42</v>
      </c>
      <c r="C39" s="43">
        <f aca="true" t="shared" si="14" ref="C39:N39">ROUND(SUM(C40:C45),1)</f>
        <v>270.8</v>
      </c>
      <c r="D39" s="44">
        <f t="shared" si="14"/>
        <v>198.8</v>
      </c>
      <c r="E39" s="44">
        <f t="shared" si="14"/>
        <v>192.4</v>
      </c>
      <c r="F39" s="44">
        <f t="shared" si="14"/>
        <v>151.9</v>
      </c>
      <c r="G39" s="44">
        <f t="shared" si="14"/>
        <v>151.6</v>
      </c>
      <c r="H39" s="44">
        <f t="shared" si="14"/>
        <v>147.8</v>
      </c>
      <c r="I39" s="44">
        <f t="shared" si="14"/>
        <v>175.9</v>
      </c>
      <c r="J39" s="44">
        <f t="shared" si="14"/>
        <v>158.6</v>
      </c>
      <c r="K39" s="44">
        <f t="shared" si="14"/>
        <v>179.9</v>
      </c>
      <c r="L39" s="44">
        <f t="shared" si="14"/>
        <v>145.5</v>
      </c>
      <c r="M39" s="44">
        <f t="shared" si="14"/>
        <v>121.9</v>
      </c>
      <c r="N39" s="44">
        <f t="shared" si="14"/>
        <v>111.9</v>
      </c>
      <c r="O39" s="44">
        <f>SUM(O40:O45)</f>
        <v>2007</v>
      </c>
      <c r="P39" s="43">
        <f aca="true" t="shared" si="15" ref="P39:AA39">ROUND(SUM(P40:P45),1)</f>
        <v>164.4</v>
      </c>
      <c r="Q39" s="44">
        <f t="shared" si="15"/>
        <v>187.9</v>
      </c>
      <c r="R39" s="44">
        <f t="shared" si="15"/>
        <v>183.3</v>
      </c>
      <c r="S39" s="44">
        <f t="shared" si="15"/>
        <v>215.2</v>
      </c>
      <c r="T39" s="44">
        <f t="shared" si="15"/>
        <v>282.1</v>
      </c>
      <c r="U39" s="44">
        <f t="shared" si="15"/>
        <v>314.5</v>
      </c>
      <c r="V39" s="44">
        <f t="shared" si="15"/>
        <v>316.9</v>
      </c>
      <c r="W39" s="44">
        <f t="shared" si="15"/>
        <v>607.9</v>
      </c>
      <c r="X39" s="44">
        <f t="shared" si="15"/>
        <v>290.8</v>
      </c>
      <c r="Y39" s="44">
        <f t="shared" si="15"/>
        <v>213</v>
      </c>
      <c r="Z39" s="44">
        <f t="shared" si="15"/>
        <v>216.3</v>
      </c>
      <c r="AA39" s="44">
        <f t="shared" si="15"/>
        <v>312.1</v>
      </c>
      <c r="AB39" s="44">
        <f>SUM(AB40:AB45)</f>
        <v>3304.4</v>
      </c>
      <c r="AC39" s="43">
        <f t="shared" si="1"/>
        <v>1297.4</v>
      </c>
      <c r="AD39" s="45">
        <f t="shared" si="2"/>
        <v>64.64374688589936</v>
      </c>
      <c r="AE39" s="3"/>
    </row>
    <row r="40" spans="2:31" ht="15.75" customHeight="1">
      <c r="B40" s="47" t="s">
        <v>43</v>
      </c>
      <c r="C40" s="37">
        <v>113</v>
      </c>
      <c r="D40" s="38">
        <v>56.4</v>
      </c>
      <c r="E40" s="38">
        <v>33.9</v>
      </c>
      <c r="F40" s="38">
        <v>30.8</v>
      </c>
      <c r="G40" s="38">
        <v>14.5</v>
      </c>
      <c r="H40" s="38">
        <v>20.6</v>
      </c>
      <c r="I40" s="38">
        <v>20.9</v>
      </c>
      <c r="J40" s="38">
        <v>16.6</v>
      </c>
      <c r="K40" s="38">
        <v>13</v>
      </c>
      <c r="L40" s="38">
        <v>14.6</v>
      </c>
      <c r="M40" s="38">
        <v>16.6</v>
      </c>
      <c r="N40" s="38">
        <v>14.2</v>
      </c>
      <c r="O40" s="39">
        <f aca="true" t="shared" si="16" ref="O40:O46">SUM(C40:N40)</f>
        <v>365.1000000000001</v>
      </c>
      <c r="P40" s="37">
        <v>16.1</v>
      </c>
      <c r="Q40" s="38">
        <v>21</v>
      </c>
      <c r="R40" s="38">
        <v>16.2</v>
      </c>
      <c r="S40" s="38">
        <v>20.2</v>
      </c>
      <c r="T40" s="38">
        <v>89</v>
      </c>
      <c r="U40" s="38">
        <v>105.6</v>
      </c>
      <c r="V40" s="38">
        <v>149.6</v>
      </c>
      <c r="W40" s="38">
        <v>377.7</v>
      </c>
      <c r="X40" s="38">
        <v>96.4</v>
      </c>
      <c r="Y40" s="38">
        <v>29.5</v>
      </c>
      <c r="Z40" s="38">
        <v>24.4</v>
      </c>
      <c r="AA40" s="38">
        <v>30.8</v>
      </c>
      <c r="AB40" s="39">
        <f aca="true" t="shared" si="17" ref="AB40:AB46">SUM(P40:AA40)</f>
        <v>976.5</v>
      </c>
      <c r="AC40" s="40">
        <f t="shared" si="1"/>
        <v>611.3999999999999</v>
      </c>
      <c r="AD40" s="41">
        <f t="shared" si="2"/>
        <v>167.4609695973705</v>
      </c>
      <c r="AE40" s="3"/>
    </row>
    <row r="41" spans="2:31" ht="15.75" customHeight="1">
      <c r="B41" s="47" t="s">
        <v>44</v>
      </c>
      <c r="C41" s="37">
        <v>88.8</v>
      </c>
      <c r="D41" s="38">
        <v>82.8</v>
      </c>
      <c r="E41" s="38">
        <v>109.4</v>
      </c>
      <c r="F41" s="38">
        <v>79.4</v>
      </c>
      <c r="G41" s="38">
        <v>113.6</v>
      </c>
      <c r="H41" s="38">
        <v>96.4</v>
      </c>
      <c r="I41" s="38">
        <v>117.7</v>
      </c>
      <c r="J41" s="38">
        <v>103.2</v>
      </c>
      <c r="K41" s="38">
        <v>133</v>
      </c>
      <c r="L41" s="38">
        <v>76</v>
      </c>
      <c r="M41" s="38">
        <v>84.8</v>
      </c>
      <c r="N41" s="38">
        <v>91.1</v>
      </c>
      <c r="O41" s="39">
        <f t="shared" si="16"/>
        <v>1176.2</v>
      </c>
      <c r="P41" s="37">
        <v>77.5</v>
      </c>
      <c r="Q41" s="38">
        <v>95.4</v>
      </c>
      <c r="R41" s="38">
        <v>102.2</v>
      </c>
      <c r="S41" s="38">
        <v>116.6</v>
      </c>
      <c r="T41" s="38">
        <v>140.1</v>
      </c>
      <c r="U41" s="38">
        <v>146.2</v>
      </c>
      <c r="V41" s="38">
        <v>120.7</v>
      </c>
      <c r="W41" s="38">
        <v>144.4</v>
      </c>
      <c r="X41" s="38">
        <v>131.7</v>
      </c>
      <c r="Y41" s="38">
        <v>133.2</v>
      </c>
      <c r="Z41" s="38">
        <v>139.3</v>
      </c>
      <c r="AA41" s="38">
        <v>215.2</v>
      </c>
      <c r="AB41" s="39">
        <f t="shared" si="17"/>
        <v>1562.5</v>
      </c>
      <c r="AC41" s="40">
        <f t="shared" si="1"/>
        <v>386.29999999999995</v>
      </c>
      <c r="AD41" s="41">
        <f t="shared" si="2"/>
        <v>32.84305390239754</v>
      </c>
      <c r="AE41" s="3"/>
    </row>
    <row r="42" spans="2:31" ht="15.75" customHeight="1">
      <c r="B42" s="47" t="s">
        <v>45</v>
      </c>
      <c r="C42" s="37">
        <v>50.4</v>
      </c>
      <c r="D42" s="38">
        <v>41.7</v>
      </c>
      <c r="E42" s="38">
        <v>36.9</v>
      </c>
      <c r="F42" s="38">
        <v>20</v>
      </c>
      <c r="G42" s="38">
        <v>16.4</v>
      </c>
      <c r="H42" s="38">
        <v>20</v>
      </c>
      <c r="I42" s="38">
        <v>22</v>
      </c>
      <c r="J42" s="38">
        <v>27.6</v>
      </c>
      <c r="K42" s="38">
        <v>20.9</v>
      </c>
      <c r="L42" s="38">
        <v>36.5</v>
      </c>
      <c r="M42" s="38">
        <v>9.9</v>
      </c>
      <c r="N42" s="38">
        <v>0</v>
      </c>
      <c r="O42" s="39">
        <f t="shared" si="16"/>
        <v>302.29999999999995</v>
      </c>
      <c r="P42" s="37">
        <v>37</v>
      </c>
      <c r="Q42" s="38">
        <v>30.8</v>
      </c>
      <c r="R42" s="38">
        <v>21.1</v>
      </c>
      <c r="S42" s="38">
        <v>24.9</v>
      </c>
      <c r="T42" s="38">
        <v>12.8</v>
      </c>
      <c r="U42" s="38">
        <v>20.9</v>
      </c>
      <c r="V42" s="38">
        <v>12.1</v>
      </c>
      <c r="W42" s="38">
        <v>27.3</v>
      </c>
      <c r="X42" s="38">
        <v>17</v>
      </c>
      <c r="Y42" s="38">
        <v>14.4</v>
      </c>
      <c r="Z42" s="38">
        <v>10</v>
      </c>
      <c r="AA42" s="38">
        <v>15.7</v>
      </c>
      <c r="AB42" s="39">
        <f t="shared" si="17"/>
        <v>244</v>
      </c>
      <c r="AC42" s="40">
        <f t="shared" si="1"/>
        <v>-58.299999999999955</v>
      </c>
      <c r="AD42" s="41">
        <f t="shared" si="2"/>
        <v>-19.28547800198477</v>
      </c>
      <c r="AE42" s="3"/>
    </row>
    <row r="43" spans="2:31" ht="15.75" customHeight="1">
      <c r="B43" s="47" t="s">
        <v>46</v>
      </c>
      <c r="C43" s="37">
        <v>0</v>
      </c>
      <c r="D43" s="38">
        <v>5</v>
      </c>
      <c r="E43" s="38">
        <v>1.6</v>
      </c>
      <c r="F43" s="38">
        <v>13.4</v>
      </c>
      <c r="G43" s="38">
        <v>0.4</v>
      </c>
      <c r="H43" s="38">
        <v>3.1</v>
      </c>
      <c r="I43" s="38">
        <v>4.7</v>
      </c>
      <c r="J43" s="38">
        <v>2.5</v>
      </c>
      <c r="K43" s="38">
        <v>4.3</v>
      </c>
      <c r="L43" s="38">
        <v>10.4</v>
      </c>
      <c r="M43" s="38">
        <v>3.2</v>
      </c>
      <c r="N43" s="38">
        <v>0</v>
      </c>
      <c r="O43" s="39">
        <f t="shared" si="16"/>
        <v>48.6</v>
      </c>
      <c r="P43" s="37">
        <v>5.1</v>
      </c>
      <c r="Q43" s="38">
        <v>5</v>
      </c>
      <c r="R43" s="38">
        <v>12.5</v>
      </c>
      <c r="S43" s="38">
        <v>13.2</v>
      </c>
      <c r="T43" s="38">
        <v>12.9</v>
      </c>
      <c r="U43" s="38">
        <v>14.8</v>
      </c>
      <c r="V43" s="38">
        <v>9.1</v>
      </c>
      <c r="W43" s="38">
        <v>21</v>
      </c>
      <c r="X43" s="38">
        <v>14.1</v>
      </c>
      <c r="Y43" s="38">
        <v>8.8</v>
      </c>
      <c r="Z43" s="38">
        <v>15.5</v>
      </c>
      <c r="AA43" s="38">
        <v>23.4</v>
      </c>
      <c r="AB43" s="39">
        <f t="shared" si="17"/>
        <v>155.4</v>
      </c>
      <c r="AC43" s="40">
        <f t="shared" si="1"/>
        <v>106.80000000000001</v>
      </c>
      <c r="AD43" s="41">
        <f t="shared" si="2"/>
        <v>219.7530864197531</v>
      </c>
      <c r="AE43" s="3"/>
    </row>
    <row r="44" spans="2:31" ht="15.75" customHeight="1">
      <c r="B44" s="47" t="s">
        <v>47</v>
      </c>
      <c r="C44" s="37">
        <v>5.5</v>
      </c>
      <c r="D44" s="38">
        <v>5.3</v>
      </c>
      <c r="E44" s="38">
        <v>5.3</v>
      </c>
      <c r="F44" s="38">
        <v>4</v>
      </c>
      <c r="G44" s="38">
        <v>4</v>
      </c>
      <c r="H44" s="38">
        <v>4</v>
      </c>
      <c r="I44" s="38">
        <v>4</v>
      </c>
      <c r="J44" s="38">
        <v>4.5</v>
      </c>
      <c r="K44" s="38">
        <v>4.4</v>
      </c>
      <c r="L44" s="38">
        <v>4.4</v>
      </c>
      <c r="M44" s="38">
        <v>4.2</v>
      </c>
      <c r="N44" s="38">
        <v>4</v>
      </c>
      <c r="O44" s="39">
        <f t="shared" si="16"/>
        <v>53.6</v>
      </c>
      <c r="P44" s="37">
        <v>5.6</v>
      </c>
      <c r="Q44" s="38">
        <v>6.1</v>
      </c>
      <c r="R44" s="38">
        <v>5.9</v>
      </c>
      <c r="S44" s="38">
        <v>5.9</v>
      </c>
      <c r="T44" s="38">
        <v>5.9</v>
      </c>
      <c r="U44" s="38">
        <v>5.4</v>
      </c>
      <c r="V44" s="38">
        <v>8.2</v>
      </c>
      <c r="W44" s="38">
        <v>11.7</v>
      </c>
      <c r="X44" s="38">
        <v>11.5</v>
      </c>
      <c r="Y44" s="38">
        <v>11.6</v>
      </c>
      <c r="Z44" s="38">
        <v>11.7</v>
      </c>
      <c r="AA44" s="38">
        <v>12.4</v>
      </c>
      <c r="AB44" s="39">
        <f t="shared" si="17"/>
        <v>101.9</v>
      </c>
      <c r="AC44" s="40">
        <f t="shared" si="1"/>
        <v>48.300000000000004</v>
      </c>
      <c r="AD44" s="41">
        <f t="shared" si="2"/>
        <v>90.11194029850746</v>
      </c>
      <c r="AE44" s="3"/>
    </row>
    <row r="45" spans="2:31" ht="15.75" customHeight="1">
      <c r="B45" s="47" t="s">
        <v>30</v>
      </c>
      <c r="C45" s="37">
        <f>18.6-5.5</f>
        <v>13.100000000000001</v>
      </c>
      <c r="D45" s="38">
        <f>17.9-5-5.3</f>
        <v>7.599999999999999</v>
      </c>
      <c r="E45" s="38">
        <f>12.2-1.6-5.3</f>
        <v>5.3</v>
      </c>
      <c r="F45" s="38">
        <f>21.7-13.4-4</f>
        <v>4.299999999999999</v>
      </c>
      <c r="G45" s="38">
        <f>7.1-0.4-4</f>
        <v>2.6999999999999993</v>
      </c>
      <c r="H45" s="38">
        <f>10.8-3.1-4</f>
        <v>3.700000000000001</v>
      </c>
      <c r="I45" s="38">
        <f>15.4-4.7-4.1</f>
        <v>6.6</v>
      </c>
      <c r="J45" s="38">
        <f>11.2-2.5-4.5</f>
        <v>4.199999999999999</v>
      </c>
      <c r="K45" s="38">
        <f>13-4.3-4.4</f>
        <v>4.299999999999999</v>
      </c>
      <c r="L45" s="38">
        <f>18.4-10.4-4.4</f>
        <v>3.599999999999998</v>
      </c>
      <c r="M45" s="38">
        <f>10.6-3.2-4.2</f>
        <v>3.1999999999999993</v>
      </c>
      <c r="N45" s="38">
        <f>6.6-4</f>
        <v>2.5999999999999996</v>
      </c>
      <c r="O45" s="39">
        <f t="shared" si="16"/>
        <v>61.199999999999996</v>
      </c>
      <c r="P45" s="37">
        <v>23.1</v>
      </c>
      <c r="Q45" s="38">
        <v>29.6</v>
      </c>
      <c r="R45" s="38">
        <v>25.4</v>
      </c>
      <c r="S45" s="38">
        <v>34.4</v>
      </c>
      <c r="T45" s="38">
        <v>21.4</v>
      </c>
      <c r="U45" s="38">
        <v>21.6</v>
      </c>
      <c r="V45" s="38">
        <v>17.2</v>
      </c>
      <c r="W45" s="38">
        <v>25.8</v>
      </c>
      <c r="X45" s="38">
        <v>20.1</v>
      </c>
      <c r="Y45" s="38">
        <v>15.5</v>
      </c>
      <c r="Z45" s="38">
        <v>15.4</v>
      </c>
      <c r="AA45" s="38">
        <v>14.6</v>
      </c>
      <c r="AB45" s="39">
        <f t="shared" si="17"/>
        <v>264.1</v>
      </c>
      <c r="AC45" s="40">
        <f t="shared" si="1"/>
        <v>202.90000000000003</v>
      </c>
      <c r="AD45" s="41">
        <f t="shared" si="2"/>
        <v>331.53594771241836</v>
      </c>
      <c r="AE45" s="3"/>
    </row>
    <row r="46" spans="2:31" ht="21" customHeight="1">
      <c r="B46" s="32" t="s">
        <v>99</v>
      </c>
      <c r="C46" s="33">
        <f aca="true" t="shared" si="18" ref="C46:N46">ROUND(+C47+C50+C51,1)</f>
        <v>2563.2</v>
      </c>
      <c r="D46" s="33">
        <f t="shared" si="18"/>
        <v>3108.5</v>
      </c>
      <c r="E46" s="34">
        <f t="shared" si="18"/>
        <v>3591.4</v>
      </c>
      <c r="F46" s="34">
        <f t="shared" si="18"/>
        <v>3362.6</v>
      </c>
      <c r="G46" s="34">
        <f t="shared" si="18"/>
        <v>3374.3</v>
      </c>
      <c r="H46" s="34">
        <f t="shared" si="18"/>
        <v>3154.3</v>
      </c>
      <c r="I46" s="34">
        <f t="shared" si="18"/>
        <v>3335.6</v>
      </c>
      <c r="J46" s="34">
        <f t="shared" si="18"/>
        <v>3674.2</v>
      </c>
      <c r="K46" s="34">
        <f t="shared" si="18"/>
        <v>2512</v>
      </c>
      <c r="L46" s="34">
        <f t="shared" si="18"/>
        <v>2538.6</v>
      </c>
      <c r="M46" s="34">
        <f t="shared" si="18"/>
        <v>2670.3</v>
      </c>
      <c r="N46" s="34">
        <f t="shared" si="18"/>
        <v>3341.4</v>
      </c>
      <c r="O46" s="34">
        <f t="shared" si="16"/>
        <v>37226.4</v>
      </c>
      <c r="P46" s="33">
        <f aca="true" t="shared" si="19" ref="P46:AA46">ROUND(+P47+P50+P51,1)</f>
        <v>2475.3</v>
      </c>
      <c r="Q46" s="33">
        <f t="shared" si="19"/>
        <v>2497.7</v>
      </c>
      <c r="R46" s="34">
        <f t="shared" si="19"/>
        <v>3755.5</v>
      </c>
      <c r="S46" s="34">
        <f t="shared" si="19"/>
        <v>3106.1</v>
      </c>
      <c r="T46" s="34">
        <f t="shared" si="19"/>
        <v>2956.4</v>
      </c>
      <c r="U46" s="34">
        <f t="shared" si="19"/>
        <v>3201.8</v>
      </c>
      <c r="V46" s="34">
        <f t="shared" si="19"/>
        <v>3251.3</v>
      </c>
      <c r="W46" s="34">
        <f t="shared" si="19"/>
        <v>3366.4</v>
      </c>
      <c r="X46" s="34">
        <f t="shared" si="19"/>
        <v>3335.8</v>
      </c>
      <c r="Y46" s="34">
        <f t="shared" si="19"/>
        <v>3386.1</v>
      </c>
      <c r="Z46" s="34">
        <f t="shared" si="19"/>
        <v>3056.2</v>
      </c>
      <c r="AA46" s="34">
        <f t="shared" si="19"/>
        <v>3481.7</v>
      </c>
      <c r="AB46" s="34">
        <f t="shared" si="17"/>
        <v>37870.299999999996</v>
      </c>
      <c r="AC46" s="33">
        <f aca="true" t="shared" si="20" ref="AC46:AC77">+AB46-O46</f>
        <v>643.8999999999942</v>
      </c>
      <c r="AD46" s="35">
        <f aca="true" t="shared" si="21" ref="AD46:AD77">+AC46/O46*100</f>
        <v>1.7296864590720404</v>
      </c>
      <c r="AE46" s="3"/>
    </row>
    <row r="47" spans="2:31" ht="24" customHeight="1">
      <c r="B47" s="42" t="s">
        <v>48</v>
      </c>
      <c r="C47" s="43">
        <f aca="true" t="shared" si="22" ref="C47:N47">ROUND(SUM(C48:C49),1)</f>
        <v>1052.7</v>
      </c>
      <c r="D47" s="44">
        <f t="shared" si="22"/>
        <v>1248</v>
      </c>
      <c r="E47" s="44">
        <f t="shared" si="22"/>
        <v>1446.4</v>
      </c>
      <c r="F47" s="44">
        <f t="shared" si="22"/>
        <v>1285.6</v>
      </c>
      <c r="G47" s="44">
        <f t="shared" si="22"/>
        <v>1386.2</v>
      </c>
      <c r="H47" s="44">
        <f t="shared" si="22"/>
        <v>1335.9</v>
      </c>
      <c r="I47" s="44">
        <f t="shared" si="22"/>
        <v>1412.9</v>
      </c>
      <c r="J47" s="44">
        <f t="shared" si="22"/>
        <v>1670.2</v>
      </c>
      <c r="K47" s="44">
        <f t="shared" si="22"/>
        <v>1153.1</v>
      </c>
      <c r="L47" s="44">
        <f t="shared" si="22"/>
        <v>1241.4</v>
      </c>
      <c r="M47" s="44">
        <f t="shared" si="22"/>
        <v>1426.1</v>
      </c>
      <c r="N47" s="44">
        <f t="shared" si="22"/>
        <v>1354.7</v>
      </c>
      <c r="O47" s="44">
        <f>SUM(O48:O49)</f>
        <v>16013.199999999999</v>
      </c>
      <c r="P47" s="43">
        <f aca="true" t="shared" si="23" ref="P47:AA47">ROUND(SUM(P48:P49),1)</f>
        <v>1026.6</v>
      </c>
      <c r="Q47" s="44">
        <f t="shared" si="23"/>
        <v>1012.2</v>
      </c>
      <c r="R47" s="44">
        <f t="shared" si="23"/>
        <v>984.5</v>
      </c>
      <c r="S47" s="44">
        <f t="shared" si="23"/>
        <v>1067.5</v>
      </c>
      <c r="T47" s="44">
        <f t="shared" si="23"/>
        <v>1160.8</v>
      </c>
      <c r="U47" s="44">
        <f t="shared" si="23"/>
        <v>1303.6</v>
      </c>
      <c r="V47" s="44">
        <f t="shared" si="23"/>
        <v>1314.8</v>
      </c>
      <c r="W47" s="44">
        <f t="shared" si="23"/>
        <v>1259.9</v>
      </c>
      <c r="X47" s="44">
        <f t="shared" si="23"/>
        <v>1234.4</v>
      </c>
      <c r="Y47" s="44">
        <f t="shared" si="23"/>
        <v>1268.4</v>
      </c>
      <c r="Z47" s="44">
        <f t="shared" si="23"/>
        <v>1317.5</v>
      </c>
      <c r="AA47" s="44">
        <f t="shared" si="23"/>
        <v>1452.5</v>
      </c>
      <c r="AB47" s="44">
        <f>SUM(AB48:AB49)</f>
        <v>14402.7</v>
      </c>
      <c r="AC47" s="43">
        <f t="shared" si="20"/>
        <v>-1610.4999999999982</v>
      </c>
      <c r="AD47" s="45">
        <f t="shared" si="21"/>
        <v>-10.057327704643658</v>
      </c>
      <c r="AE47" s="3"/>
    </row>
    <row r="48" spans="2:31" ht="19.5" customHeight="1">
      <c r="B48" s="46" t="s">
        <v>49</v>
      </c>
      <c r="C48" s="37">
        <f>828+223.9</f>
        <v>1051.9</v>
      </c>
      <c r="D48" s="38">
        <f>1031.1+215.7</f>
        <v>1246.8</v>
      </c>
      <c r="E48" s="38">
        <f>1135.6+310</f>
        <v>1445.6</v>
      </c>
      <c r="F48" s="38">
        <v>1285.3</v>
      </c>
      <c r="G48" s="38">
        <v>1385.6</v>
      </c>
      <c r="H48" s="38">
        <f>1024.7+310.5</f>
        <v>1335.2</v>
      </c>
      <c r="I48" s="38">
        <f>1128.7+283.3</f>
        <v>1412</v>
      </c>
      <c r="J48" s="38">
        <f>1290.1+378.9</f>
        <v>1669</v>
      </c>
      <c r="K48" s="38">
        <v>1151.7</v>
      </c>
      <c r="L48" s="38">
        <v>1239.8</v>
      </c>
      <c r="M48" s="38">
        <f>1065.6+357.9</f>
        <v>1423.5</v>
      </c>
      <c r="N48" s="38">
        <v>1353.6</v>
      </c>
      <c r="O48" s="38">
        <f>SUM(C48:N48)</f>
        <v>15999.999999999998</v>
      </c>
      <c r="P48" s="37">
        <v>1026.2</v>
      </c>
      <c r="Q48" s="38">
        <v>1011.6</v>
      </c>
      <c r="R48" s="38">
        <v>983.9</v>
      </c>
      <c r="S48" s="38">
        <v>1066.9</v>
      </c>
      <c r="T48" s="38">
        <v>1160.4</v>
      </c>
      <c r="U48" s="38">
        <v>1303</v>
      </c>
      <c r="V48" s="38">
        <v>1314.1</v>
      </c>
      <c r="W48" s="38">
        <v>1258.5</v>
      </c>
      <c r="X48" s="38">
        <v>1232.7</v>
      </c>
      <c r="Y48" s="38">
        <v>1267.5</v>
      </c>
      <c r="Z48" s="38">
        <v>1317.1</v>
      </c>
      <c r="AA48" s="38">
        <v>1452</v>
      </c>
      <c r="AB48" s="38">
        <f>SUM(P48:AA48)</f>
        <v>14393.900000000001</v>
      </c>
      <c r="AC48" s="37">
        <f t="shared" si="20"/>
        <v>-1606.0999999999967</v>
      </c>
      <c r="AD48" s="48">
        <f t="shared" si="21"/>
        <v>-10.038124999999981</v>
      </c>
      <c r="AE48" s="3"/>
    </row>
    <row r="49" spans="2:31" ht="15" customHeight="1">
      <c r="B49" s="46" t="s">
        <v>30</v>
      </c>
      <c r="C49" s="37">
        <v>0.8</v>
      </c>
      <c r="D49" s="38">
        <v>1.2</v>
      </c>
      <c r="E49" s="38">
        <v>0.8</v>
      </c>
      <c r="F49" s="38">
        <v>0.3</v>
      </c>
      <c r="G49" s="38">
        <v>0.6</v>
      </c>
      <c r="H49" s="38">
        <v>0.7</v>
      </c>
      <c r="I49" s="38">
        <v>0.9</v>
      </c>
      <c r="J49" s="38">
        <v>1.2</v>
      </c>
      <c r="K49" s="38">
        <v>1.4</v>
      </c>
      <c r="L49" s="38">
        <v>1.6</v>
      </c>
      <c r="M49" s="38">
        <v>2.6</v>
      </c>
      <c r="N49" s="38">
        <v>1.1</v>
      </c>
      <c r="O49" s="38">
        <f>SUM(C49:N49)</f>
        <v>13.2</v>
      </c>
      <c r="P49" s="37">
        <v>0.4</v>
      </c>
      <c r="Q49" s="38">
        <v>0.6</v>
      </c>
      <c r="R49" s="38">
        <v>0.6</v>
      </c>
      <c r="S49" s="38">
        <v>0.6</v>
      </c>
      <c r="T49" s="38">
        <v>0.4</v>
      </c>
      <c r="U49" s="38">
        <v>0.6</v>
      </c>
      <c r="V49" s="38">
        <v>0.7</v>
      </c>
      <c r="W49" s="38">
        <v>1.4</v>
      </c>
      <c r="X49" s="38">
        <v>1.7</v>
      </c>
      <c r="Y49" s="38">
        <v>0.9</v>
      </c>
      <c r="Z49" s="38">
        <v>0.4</v>
      </c>
      <c r="AA49" s="38">
        <v>0.5</v>
      </c>
      <c r="AB49" s="38">
        <f>SUM(P49:AA49)</f>
        <v>8.8</v>
      </c>
      <c r="AC49" s="37">
        <f t="shared" si="20"/>
        <v>-4.399999999999999</v>
      </c>
      <c r="AD49" s="48">
        <f t="shared" si="21"/>
        <v>-33.33333333333333</v>
      </c>
      <c r="AE49" s="3"/>
    </row>
    <row r="50" spans="2:31" ht="21" customHeight="1">
      <c r="B50" s="42" t="s">
        <v>50</v>
      </c>
      <c r="C50" s="43">
        <f>0.4+123.6</f>
        <v>124</v>
      </c>
      <c r="D50" s="44">
        <f>1.4+158.1+93.2</f>
        <v>252.7</v>
      </c>
      <c r="E50" s="44">
        <v>281</v>
      </c>
      <c r="F50" s="44">
        <v>311.7</v>
      </c>
      <c r="G50" s="44">
        <v>285.1</v>
      </c>
      <c r="H50" s="44">
        <f>8.6+142.2+107.2</f>
        <v>258</v>
      </c>
      <c r="I50" s="44">
        <f>1+54.9+98.1</f>
        <v>154</v>
      </c>
      <c r="J50" s="44">
        <f>2.4+12.8</f>
        <v>15.200000000000001</v>
      </c>
      <c r="K50" s="44">
        <v>2.5</v>
      </c>
      <c r="L50" s="44">
        <v>17.5</v>
      </c>
      <c r="M50" s="44">
        <f>0.6+2.1+0.4</f>
        <v>3.1</v>
      </c>
      <c r="N50" s="44">
        <v>1.1</v>
      </c>
      <c r="O50" s="49">
        <f>SUM(C50:N50)</f>
        <v>1705.8999999999999</v>
      </c>
      <c r="P50" s="43">
        <v>1</v>
      </c>
      <c r="Q50" s="44">
        <v>6.4</v>
      </c>
      <c r="R50" s="44">
        <v>1.2</v>
      </c>
      <c r="S50" s="44">
        <v>0.9</v>
      </c>
      <c r="T50" s="44">
        <v>1.6</v>
      </c>
      <c r="U50" s="44">
        <v>4.2</v>
      </c>
      <c r="V50" s="44">
        <v>7.7</v>
      </c>
      <c r="W50" s="44">
        <v>5.3</v>
      </c>
      <c r="X50" s="44">
        <v>4.5</v>
      </c>
      <c r="Y50" s="44">
        <v>5.1</v>
      </c>
      <c r="Z50" s="44">
        <v>4.6</v>
      </c>
      <c r="AA50" s="44">
        <v>3.3</v>
      </c>
      <c r="AB50" s="49">
        <f>SUM(P50:AA50)</f>
        <v>45.8</v>
      </c>
      <c r="AC50" s="50">
        <f t="shared" si="20"/>
        <v>-1660.1</v>
      </c>
      <c r="AD50" s="51">
        <f t="shared" si="21"/>
        <v>-97.31520018758427</v>
      </c>
      <c r="AE50" s="3"/>
    </row>
    <row r="51" spans="2:31" ht="24" customHeight="1">
      <c r="B51" s="42" t="s">
        <v>51</v>
      </c>
      <c r="C51" s="43">
        <f aca="true" t="shared" si="24" ref="C51:N51">ROUND(SUM(C52:C55),1)</f>
        <v>1386.5</v>
      </c>
      <c r="D51" s="44">
        <f t="shared" si="24"/>
        <v>1607.8</v>
      </c>
      <c r="E51" s="44">
        <f t="shared" si="24"/>
        <v>1864</v>
      </c>
      <c r="F51" s="44">
        <f t="shared" si="24"/>
        <v>1765.3</v>
      </c>
      <c r="G51" s="44">
        <f t="shared" si="24"/>
        <v>1703</v>
      </c>
      <c r="H51" s="44">
        <f t="shared" si="24"/>
        <v>1560.4</v>
      </c>
      <c r="I51" s="44">
        <f t="shared" si="24"/>
        <v>1768.7</v>
      </c>
      <c r="J51" s="44">
        <f t="shared" si="24"/>
        <v>1988.8</v>
      </c>
      <c r="K51" s="44">
        <f t="shared" si="24"/>
        <v>1356.4</v>
      </c>
      <c r="L51" s="44">
        <f t="shared" si="24"/>
        <v>1279.7</v>
      </c>
      <c r="M51" s="44">
        <f t="shared" si="24"/>
        <v>1241.1</v>
      </c>
      <c r="N51" s="44">
        <f t="shared" si="24"/>
        <v>1985.6</v>
      </c>
      <c r="O51" s="44">
        <f>SUM(O52:O55)</f>
        <v>19507.3</v>
      </c>
      <c r="P51" s="43">
        <f aca="true" t="shared" si="25" ref="P51:AA51">ROUND(SUM(P52:P55),1)</f>
        <v>1447.7</v>
      </c>
      <c r="Q51" s="44">
        <f t="shared" si="25"/>
        <v>1479.1</v>
      </c>
      <c r="R51" s="44">
        <f t="shared" si="25"/>
        <v>2769.8</v>
      </c>
      <c r="S51" s="44">
        <f t="shared" si="25"/>
        <v>2037.7</v>
      </c>
      <c r="T51" s="44">
        <f t="shared" si="25"/>
        <v>1794</v>
      </c>
      <c r="U51" s="44">
        <f t="shared" si="25"/>
        <v>1894</v>
      </c>
      <c r="V51" s="44">
        <f t="shared" si="25"/>
        <v>1928.8</v>
      </c>
      <c r="W51" s="44">
        <f t="shared" si="25"/>
        <v>2101.2</v>
      </c>
      <c r="X51" s="44">
        <f t="shared" si="25"/>
        <v>2096.9</v>
      </c>
      <c r="Y51" s="44">
        <f t="shared" si="25"/>
        <v>2112.6</v>
      </c>
      <c r="Z51" s="44">
        <f t="shared" si="25"/>
        <v>1734.1</v>
      </c>
      <c r="AA51" s="44">
        <f t="shared" si="25"/>
        <v>2025.9</v>
      </c>
      <c r="AB51" s="44">
        <f>SUM(AB52:AB55)</f>
        <v>23421.799999999996</v>
      </c>
      <c r="AC51" s="43">
        <f t="shared" si="20"/>
        <v>3914.4999999999964</v>
      </c>
      <c r="AD51" s="45">
        <f t="shared" si="21"/>
        <v>20.066846770183453</v>
      </c>
      <c r="AE51" s="3"/>
    </row>
    <row r="52" spans="2:31" ht="18.75" customHeight="1">
      <c r="B52" s="47" t="s">
        <v>52</v>
      </c>
      <c r="C52" s="37">
        <v>1096.3</v>
      </c>
      <c r="D52" s="38">
        <v>1232.9</v>
      </c>
      <c r="E52" s="38">
        <v>1457.6</v>
      </c>
      <c r="F52" s="38">
        <v>1378.4</v>
      </c>
      <c r="G52" s="38">
        <v>1372.2</v>
      </c>
      <c r="H52" s="38">
        <v>1269.6</v>
      </c>
      <c r="I52" s="38">
        <v>1457.8</v>
      </c>
      <c r="J52" s="38">
        <v>1612.5</v>
      </c>
      <c r="K52" s="38">
        <v>1014.5</v>
      </c>
      <c r="L52" s="38">
        <v>1062.5</v>
      </c>
      <c r="M52" s="38">
        <v>1018.7</v>
      </c>
      <c r="N52" s="38">
        <v>1747.5</v>
      </c>
      <c r="O52" s="38">
        <f aca="true" t="shared" si="26" ref="O52:O57">SUM(C52:N52)</f>
        <v>15720.5</v>
      </c>
      <c r="P52" s="37">
        <v>1136.8</v>
      </c>
      <c r="Q52" s="38">
        <v>1166.3</v>
      </c>
      <c r="R52" s="38">
        <v>2471.1</v>
      </c>
      <c r="S52" s="38">
        <v>1717.5</v>
      </c>
      <c r="T52" s="38">
        <v>1555.7</v>
      </c>
      <c r="U52" s="38">
        <v>1644</v>
      </c>
      <c r="V52" s="38">
        <v>1656.4</v>
      </c>
      <c r="W52" s="38">
        <v>1777.8</v>
      </c>
      <c r="X52" s="38">
        <v>1787</v>
      </c>
      <c r="Y52" s="38">
        <v>1868</v>
      </c>
      <c r="Z52" s="38">
        <v>1480.6</v>
      </c>
      <c r="AA52" s="38">
        <v>1736.9</v>
      </c>
      <c r="AB52" s="38">
        <f aca="true" t="shared" si="27" ref="AB52:AB57">SUM(P52:AA52)</f>
        <v>19998.1</v>
      </c>
      <c r="AC52" s="37">
        <f t="shared" si="20"/>
        <v>4277.5999999999985</v>
      </c>
      <c r="AD52" s="48">
        <f t="shared" si="21"/>
        <v>27.210330460227084</v>
      </c>
      <c r="AE52" s="3"/>
    </row>
    <row r="53" spans="2:31" ht="18.75" customHeight="1">
      <c r="B53" s="52" t="s">
        <v>53</v>
      </c>
      <c r="C53" s="37">
        <f>161.8+74.2</f>
        <v>236</v>
      </c>
      <c r="D53" s="38">
        <f>182.8+157.2</f>
        <v>340</v>
      </c>
      <c r="E53" s="38">
        <f>188.2+160.4</f>
        <v>348.6</v>
      </c>
      <c r="F53" s="38">
        <v>330</v>
      </c>
      <c r="G53" s="38">
        <v>283.6</v>
      </c>
      <c r="H53" s="38">
        <f>125+111.2</f>
        <v>236.2</v>
      </c>
      <c r="I53" s="38">
        <f>142.9+123.4</f>
        <v>266.3</v>
      </c>
      <c r="J53" s="38">
        <f>170.5+147.1</f>
        <v>317.6</v>
      </c>
      <c r="K53" s="38">
        <v>281.5</v>
      </c>
      <c r="L53" s="38">
        <v>145.9</v>
      </c>
      <c r="M53" s="38">
        <f>82.8+71.5</f>
        <v>154.3</v>
      </c>
      <c r="N53" s="38">
        <v>156.5</v>
      </c>
      <c r="O53" s="38">
        <f t="shared" si="26"/>
        <v>3096.5</v>
      </c>
      <c r="P53" s="37">
        <v>229.8</v>
      </c>
      <c r="Q53" s="38">
        <v>227</v>
      </c>
      <c r="R53" s="38">
        <v>215.5</v>
      </c>
      <c r="S53" s="38">
        <v>239.6</v>
      </c>
      <c r="T53" s="38">
        <v>165</v>
      </c>
      <c r="U53" s="38">
        <v>165.6</v>
      </c>
      <c r="V53" s="38">
        <v>193</v>
      </c>
      <c r="W53" s="38">
        <v>240.4</v>
      </c>
      <c r="X53" s="38">
        <v>225.7</v>
      </c>
      <c r="Y53" s="38">
        <v>152.8</v>
      </c>
      <c r="Z53" s="38">
        <v>168.3</v>
      </c>
      <c r="AA53" s="38">
        <v>191.4</v>
      </c>
      <c r="AB53" s="38">
        <f t="shared" si="27"/>
        <v>2414.1000000000004</v>
      </c>
      <c r="AC53" s="37">
        <f t="shared" si="20"/>
        <v>-682.3999999999996</v>
      </c>
      <c r="AD53" s="48">
        <f t="shared" si="21"/>
        <v>-22.03778459551105</v>
      </c>
      <c r="AE53" s="3"/>
    </row>
    <row r="54" spans="2:31" ht="18.75" customHeight="1">
      <c r="B54" s="47" t="s">
        <v>54</v>
      </c>
      <c r="C54" s="37">
        <v>26.4</v>
      </c>
      <c r="D54" s="38">
        <v>10.8</v>
      </c>
      <c r="E54" s="38">
        <v>27.3</v>
      </c>
      <c r="F54" s="38">
        <v>26.3</v>
      </c>
      <c r="G54" s="38">
        <v>17</v>
      </c>
      <c r="H54" s="38">
        <v>22.1</v>
      </c>
      <c r="I54" s="38">
        <v>6.2</v>
      </c>
      <c r="J54" s="38">
        <v>16.2</v>
      </c>
      <c r="K54" s="38">
        <v>19.3</v>
      </c>
      <c r="L54" s="38">
        <v>16.5</v>
      </c>
      <c r="M54" s="38">
        <v>10.2</v>
      </c>
      <c r="N54" s="38">
        <v>16</v>
      </c>
      <c r="O54" s="38">
        <f t="shared" si="26"/>
        <v>214.29999999999998</v>
      </c>
      <c r="P54" s="37">
        <v>29.1</v>
      </c>
      <c r="Q54" s="38">
        <v>26.6</v>
      </c>
      <c r="R54" s="38">
        <v>25.2</v>
      </c>
      <c r="S54" s="38">
        <v>22.8</v>
      </c>
      <c r="T54" s="38">
        <v>15.2</v>
      </c>
      <c r="U54" s="38">
        <v>19.2</v>
      </c>
      <c r="V54" s="38">
        <v>18.9</v>
      </c>
      <c r="W54" s="38">
        <v>18.3</v>
      </c>
      <c r="X54" s="38">
        <v>22</v>
      </c>
      <c r="Y54" s="38">
        <v>26.9</v>
      </c>
      <c r="Z54" s="38">
        <v>18.8</v>
      </c>
      <c r="AA54" s="38">
        <v>28.3</v>
      </c>
      <c r="AB54" s="38">
        <f t="shared" si="27"/>
        <v>271.3</v>
      </c>
      <c r="AC54" s="37">
        <f t="shared" si="20"/>
        <v>57.00000000000003</v>
      </c>
      <c r="AD54" s="48">
        <f t="shared" si="21"/>
        <v>26.598226784881025</v>
      </c>
      <c r="AE54" s="3"/>
    </row>
    <row r="55" spans="2:31" ht="18.75" customHeight="1">
      <c r="B55" s="47" t="s">
        <v>30</v>
      </c>
      <c r="C55" s="37">
        <v>27.8</v>
      </c>
      <c r="D55" s="38">
        <v>24.1</v>
      </c>
      <c r="E55" s="38">
        <v>30.5</v>
      </c>
      <c r="F55" s="38">
        <v>30.6</v>
      </c>
      <c r="G55" s="38">
        <v>30.2</v>
      </c>
      <c r="H55" s="38">
        <v>32.5</v>
      </c>
      <c r="I55" s="38">
        <v>38.4</v>
      </c>
      <c r="J55" s="38">
        <v>42.5</v>
      </c>
      <c r="K55" s="38">
        <v>41.1</v>
      </c>
      <c r="L55" s="38">
        <v>54.8</v>
      </c>
      <c r="M55" s="38">
        <v>57.9</v>
      </c>
      <c r="N55" s="38">
        <v>65.6</v>
      </c>
      <c r="O55" s="38">
        <f t="shared" si="26"/>
        <v>476</v>
      </c>
      <c r="P55" s="37">
        <v>52</v>
      </c>
      <c r="Q55" s="38">
        <v>59.2</v>
      </c>
      <c r="R55" s="38">
        <v>58</v>
      </c>
      <c r="S55" s="38">
        <v>57.8</v>
      </c>
      <c r="T55" s="38">
        <v>58.1</v>
      </c>
      <c r="U55" s="38">
        <v>65.2</v>
      </c>
      <c r="V55" s="38">
        <v>60.5</v>
      </c>
      <c r="W55" s="38">
        <v>64.7</v>
      </c>
      <c r="X55" s="38">
        <v>62.2</v>
      </c>
      <c r="Y55" s="38">
        <v>64.9</v>
      </c>
      <c r="Z55" s="38">
        <v>66.4</v>
      </c>
      <c r="AA55" s="38">
        <v>69.3</v>
      </c>
      <c r="AB55" s="38">
        <f t="shared" si="27"/>
        <v>738.3</v>
      </c>
      <c r="AC55" s="37">
        <f t="shared" si="20"/>
        <v>262.29999999999995</v>
      </c>
      <c r="AD55" s="48">
        <f t="shared" si="21"/>
        <v>55.10504201680671</v>
      </c>
      <c r="AE55" s="3"/>
    </row>
    <row r="56" spans="2:31" ht="21" customHeight="1">
      <c r="B56" s="32" t="s">
        <v>100</v>
      </c>
      <c r="C56" s="33">
        <v>11.1</v>
      </c>
      <c r="D56" s="33">
        <v>16.1</v>
      </c>
      <c r="E56" s="34">
        <v>15</v>
      </c>
      <c r="F56" s="34">
        <v>13</v>
      </c>
      <c r="G56" s="34">
        <v>20.4</v>
      </c>
      <c r="H56" s="34">
        <v>16</v>
      </c>
      <c r="I56" s="34">
        <v>21.3</v>
      </c>
      <c r="J56" s="34">
        <v>24.4</v>
      </c>
      <c r="K56" s="34">
        <v>17.3</v>
      </c>
      <c r="L56" s="34">
        <v>6</v>
      </c>
      <c r="M56" s="34">
        <v>6</v>
      </c>
      <c r="N56" s="34">
        <v>27.2</v>
      </c>
      <c r="O56" s="53">
        <f t="shared" si="26"/>
        <v>193.79999999999998</v>
      </c>
      <c r="P56" s="33">
        <v>6.1</v>
      </c>
      <c r="Q56" s="33">
        <v>8.6</v>
      </c>
      <c r="R56" s="34">
        <v>5.7</v>
      </c>
      <c r="S56" s="34">
        <v>7</v>
      </c>
      <c r="T56" s="34">
        <v>7.7</v>
      </c>
      <c r="U56" s="34">
        <v>8</v>
      </c>
      <c r="V56" s="34">
        <v>5.6</v>
      </c>
      <c r="W56" s="34">
        <v>6.7</v>
      </c>
      <c r="X56" s="34">
        <v>8.5</v>
      </c>
      <c r="Y56" s="34">
        <v>8.5</v>
      </c>
      <c r="Z56" s="34">
        <v>11.8</v>
      </c>
      <c r="AA56" s="34">
        <v>13.9</v>
      </c>
      <c r="AB56" s="53">
        <f t="shared" si="27"/>
        <v>98.10000000000001</v>
      </c>
      <c r="AC56" s="54">
        <f t="shared" si="20"/>
        <v>-95.69999999999997</v>
      </c>
      <c r="AD56" s="55">
        <f t="shared" si="21"/>
        <v>-49.380804953560364</v>
      </c>
      <c r="AE56" s="3"/>
    </row>
    <row r="57" spans="2:31" ht="27.75" customHeight="1">
      <c r="B57" s="32" t="s">
        <v>101</v>
      </c>
      <c r="C57" s="33">
        <v>3.1</v>
      </c>
      <c r="D57" s="34">
        <v>1.3</v>
      </c>
      <c r="E57" s="34">
        <v>1.6</v>
      </c>
      <c r="F57" s="34">
        <v>4.9</v>
      </c>
      <c r="G57" s="34">
        <v>0.4</v>
      </c>
      <c r="H57" s="34">
        <v>3.2</v>
      </c>
      <c r="I57" s="56">
        <v>1.4</v>
      </c>
      <c r="J57" s="56">
        <v>9.4</v>
      </c>
      <c r="K57" s="56">
        <v>3.1</v>
      </c>
      <c r="L57" s="56">
        <v>8.5</v>
      </c>
      <c r="M57" s="34">
        <v>58.2</v>
      </c>
      <c r="N57" s="34">
        <v>0.1</v>
      </c>
      <c r="O57" s="53">
        <f t="shared" si="26"/>
        <v>95.2</v>
      </c>
      <c r="P57" s="33">
        <v>3.8</v>
      </c>
      <c r="Q57" s="34">
        <v>0.9</v>
      </c>
      <c r="R57" s="34">
        <v>4.7</v>
      </c>
      <c r="S57" s="34">
        <v>0.1</v>
      </c>
      <c r="T57" s="34">
        <v>0.3</v>
      </c>
      <c r="U57" s="34">
        <v>0.5</v>
      </c>
      <c r="V57" s="56">
        <v>9.4</v>
      </c>
      <c r="W57" s="56">
        <v>0</v>
      </c>
      <c r="X57" s="56">
        <v>6.5</v>
      </c>
      <c r="Y57" s="56">
        <v>3.1</v>
      </c>
      <c r="Z57" s="34">
        <v>2.6</v>
      </c>
      <c r="AA57" s="34">
        <v>3.2</v>
      </c>
      <c r="AB57" s="53">
        <f t="shared" si="27"/>
        <v>35.10000000000001</v>
      </c>
      <c r="AC57" s="54">
        <f t="shared" si="20"/>
        <v>-60.099999999999994</v>
      </c>
      <c r="AD57" s="55">
        <f t="shared" si="21"/>
        <v>-63.13025210084032</v>
      </c>
      <c r="AE57" s="3"/>
    </row>
    <row r="58" spans="2:31" ht="22.5" customHeight="1">
      <c r="B58" s="57" t="s">
        <v>55</v>
      </c>
      <c r="C58" s="58">
        <f aca="true" t="shared" si="28" ref="C58:AB58">+C59+C63</f>
        <v>628.1</v>
      </c>
      <c r="D58" s="59">
        <f t="shared" si="28"/>
        <v>758.2</v>
      </c>
      <c r="E58" s="59">
        <f t="shared" si="28"/>
        <v>852.8</v>
      </c>
      <c r="F58" s="59">
        <f t="shared" si="28"/>
        <v>784.9</v>
      </c>
      <c r="G58" s="59">
        <f t="shared" si="28"/>
        <v>814.8000000000001</v>
      </c>
      <c r="H58" s="59">
        <f t="shared" si="28"/>
        <v>979.4</v>
      </c>
      <c r="I58" s="59">
        <f t="shared" si="28"/>
        <v>852.7</v>
      </c>
      <c r="J58" s="59">
        <f t="shared" si="28"/>
        <v>972.1</v>
      </c>
      <c r="K58" s="59">
        <f t="shared" si="28"/>
        <v>657.6999999999999</v>
      </c>
      <c r="L58" s="59">
        <f t="shared" si="28"/>
        <v>663.5999999999999</v>
      </c>
      <c r="M58" s="59">
        <f t="shared" si="28"/>
        <v>515.1</v>
      </c>
      <c r="N58" s="59">
        <f t="shared" si="28"/>
        <v>465.40000000000003</v>
      </c>
      <c r="O58" s="59">
        <f t="shared" si="28"/>
        <v>8944.8</v>
      </c>
      <c r="P58" s="58">
        <f t="shared" si="28"/>
        <v>538.6</v>
      </c>
      <c r="Q58" s="59">
        <f t="shared" si="28"/>
        <v>561.4</v>
      </c>
      <c r="R58" s="59">
        <f t="shared" si="28"/>
        <v>682.9</v>
      </c>
      <c r="S58" s="59">
        <f t="shared" si="28"/>
        <v>649.0999999999999</v>
      </c>
      <c r="T58" s="59">
        <f t="shared" si="28"/>
        <v>562.8000000000001</v>
      </c>
      <c r="U58" s="59">
        <f t="shared" si="28"/>
        <v>678</v>
      </c>
      <c r="V58" s="59">
        <f t="shared" si="28"/>
        <v>499.29999999999995</v>
      </c>
      <c r="W58" s="59">
        <f t="shared" si="28"/>
        <v>814.6</v>
      </c>
      <c r="X58" s="59">
        <f t="shared" si="28"/>
        <v>739.7</v>
      </c>
      <c r="Y58" s="59">
        <f t="shared" si="28"/>
        <v>570.3</v>
      </c>
      <c r="Z58" s="59">
        <f t="shared" si="28"/>
        <v>560.6999999999999</v>
      </c>
      <c r="AA58" s="59">
        <f t="shared" si="28"/>
        <v>2046.2</v>
      </c>
      <c r="AB58" s="59">
        <f t="shared" si="28"/>
        <v>8903.600000000002</v>
      </c>
      <c r="AC58" s="58">
        <f t="shared" si="20"/>
        <v>-41.19999999999709</v>
      </c>
      <c r="AD58" s="60">
        <f t="shared" si="21"/>
        <v>-0.46060280833553674</v>
      </c>
      <c r="AE58" s="3"/>
    </row>
    <row r="59" spans="2:31" ht="21.75" customHeight="1">
      <c r="B59" s="32" t="s">
        <v>56</v>
      </c>
      <c r="C59" s="58">
        <f aca="true" t="shared" si="29" ref="C59:L59">SUM(C60:C61)</f>
        <v>10.1</v>
      </c>
      <c r="D59" s="59">
        <f t="shared" si="29"/>
        <v>4.2</v>
      </c>
      <c r="E59" s="59">
        <f t="shared" si="29"/>
        <v>9.3</v>
      </c>
      <c r="F59" s="59">
        <f t="shared" si="29"/>
        <v>0</v>
      </c>
      <c r="G59" s="59">
        <f t="shared" si="29"/>
        <v>12.2</v>
      </c>
      <c r="H59" s="59">
        <f t="shared" si="29"/>
        <v>0.6</v>
      </c>
      <c r="I59" s="59">
        <f t="shared" si="29"/>
        <v>5.2</v>
      </c>
      <c r="J59" s="59">
        <f t="shared" si="29"/>
        <v>9.2</v>
      </c>
      <c r="K59" s="59">
        <f t="shared" si="29"/>
        <v>5.3</v>
      </c>
      <c r="L59" s="59">
        <f t="shared" si="29"/>
        <v>4.3</v>
      </c>
      <c r="M59" s="59">
        <f>SUM(M60:M62)</f>
        <v>101</v>
      </c>
      <c r="N59" s="59">
        <f>SUM(N60:N62)</f>
        <v>4.6</v>
      </c>
      <c r="O59" s="59">
        <f>SUM(O60:O62)</f>
        <v>166</v>
      </c>
      <c r="P59" s="58">
        <f aca="true" t="shared" si="30" ref="P59:Y59">SUM(P60:P61)</f>
        <v>4.9</v>
      </c>
      <c r="Q59" s="59">
        <f t="shared" si="30"/>
        <v>5.1</v>
      </c>
      <c r="R59" s="59">
        <f t="shared" si="30"/>
        <v>4.4</v>
      </c>
      <c r="S59" s="59">
        <f t="shared" si="30"/>
        <v>5.3</v>
      </c>
      <c r="T59" s="59">
        <f t="shared" si="30"/>
        <v>5.2</v>
      </c>
      <c r="U59" s="59">
        <f t="shared" si="30"/>
        <v>1</v>
      </c>
      <c r="V59" s="59">
        <f t="shared" si="30"/>
        <v>0.4</v>
      </c>
      <c r="W59" s="59">
        <f t="shared" si="30"/>
        <v>0.7</v>
      </c>
      <c r="X59" s="59">
        <f t="shared" si="30"/>
        <v>16</v>
      </c>
      <c r="Y59" s="59">
        <f t="shared" si="30"/>
        <v>0.5</v>
      </c>
      <c r="Z59" s="59">
        <f>SUM(Z60:Z62)</f>
        <v>100.3</v>
      </c>
      <c r="AA59" s="59">
        <f>SUM(AA60:AA62)</f>
        <v>0.8</v>
      </c>
      <c r="AB59" s="59">
        <f>SUM(AB60:AB62)</f>
        <v>144.6</v>
      </c>
      <c r="AC59" s="58">
        <f t="shared" si="20"/>
        <v>-21.400000000000006</v>
      </c>
      <c r="AD59" s="60">
        <f t="shared" si="21"/>
        <v>-12.891566265060245</v>
      </c>
      <c r="AE59" s="3"/>
    </row>
    <row r="60" spans="2:31" ht="13.5" customHeight="1">
      <c r="B60" s="61" t="s">
        <v>57</v>
      </c>
      <c r="C60" s="37">
        <v>5.1</v>
      </c>
      <c r="D60" s="38">
        <v>4.2</v>
      </c>
      <c r="E60" s="38">
        <v>9.3</v>
      </c>
      <c r="F60" s="38">
        <v>0</v>
      </c>
      <c r="G60" s="38">
        <v>12.2</v>
      </c>
      <c r="H60" s="38">
        <v>0.6</v>
      </c>
      <c r="I60" s="38">
        <v>5.2</v>
      </c>
      <c r="J60" s="38">
        <v>9.2</v>
      </c>
      <c r="K60" s="38">
        <v>5.3</v>
      </c>
      <c r="L60" s="38">
        <v>4.3</v>
      </c>
      <c r="M60" s="38">
        <v>4</v>
      </c>
      <c r="N60" s="38">
        <v>4.6</v>
      </c>
      <c r="O60" s="39">
        <f>SUM(C60:N60)</f>
        <v>63.99999999999999</v>
      </c>
      <c r="P60" s="37">
        <v>4.9</v>
      </c>
      <c r="Q60" s="38">
        <v>5.1</v>
      </c>
      <c r="R60" s="38">
        <v>4.4</v>
      </c>
      <c r="S60" s="38">
        <v>5.3</v>
      </c>
      <c r="T60" s="38">
        <v>5.2</v>
      </c>
      <c r="U60" s="38">
        <v>1</v>
      </c>
      <c r="V60" s="38">
        <v>0.4</v>
      </c>
      <c r="W60" s="38">
        <v>0.7</v>
      </c>
      <c r="X60" s="38">
        <v>0.7</v>
      </c>
      <c r="Y60" s="38">
        <v>0.5</v>
      </c>
      <c r="Z60" s="38">
        <v>0.3</v>
      </c>
      <c r="AA60" s="38">
        <v>0.8</v>
      </c>
      <c r="AB60" s="39">
        <f>SUM(P60:AA60)</f>
        <v>29.299999999999997</v>
      </c>
      <c r="AC60" s="40">
        <f t="shared" si="20"/>
        <v>-34.699999999999996</v>
      </c>
      <c r="AD60" s="41">
        <f t="shared" si="21"/>
        <v>-54.21875000000001</v>
      </c>
      <c r="AE60" s="3"/>
    </row>
    <row r="61" spans="2:31" ht="13.5" customHeight="1">
      <c r="B61" s="61" t="s">
        <v>58</v>
      </c>
      <c r="C61" s="37">
        <v>5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50</v>
      </c>
      <c r="N61" s="38">
        <v>0</v>
      </c>
      <c r="O61" s="39">
        <f>SUM(C61:N61)</f>
        <v>55</v>
      </c>
      <c r="P61" s="37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15.3</v>
      </c>
      <c r="Y61" s="38">
        <v>0</v>
      </c>
      <c r="Z61" s="38">
        <v>100</v>
      </c>
      <c r="AA61" s="38">
        <v>0</v>
      </c>
      <c r="AB61" s="39">
        <f>SUM(P61:AA61)</f>
        <v>115.3</v>
      </c>
      <c r="AC61" s="40">
        <f t="shared" si="20"/>
        <v>60.3</v>
      </c>
      <c r="AD61" s="41">
        <f t="shared" si="21"/>
        <v>109.63636363636363</v>
      </c>
      <c r="AE61" s="3"/>
    </row>
    <row r="62" spans="2:31" ht="15.75" customHeight="1">
      <c r="B62" s="61" t="s">
        <v>30</v>
      </c>
      <c r="C62" s="37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47</v>
      </c>
      <c r="N62" s="38">
        <v>0</v>
      </c>
      <c r="O62" s="39">
        <f>SUM(C62:N62)</f>
        <v>47</v>
      </c>
      <c r="P62" s="37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9">
        <f>SUM(P62:AA62)</f>
        <v>0</v>
      </c>
      <c r="AC62" s="40">
        <f t="shared" si="20"/>
        <v>-47</v>
      </c>
      <c r="AD62" s="41">
        <f t="shared" si="21"/>
        <v>-100</v>
      </c>
      <c r="AE62" s="3"/>
    </row>
    <row r="63" spans="2:31" ht="20.25" customHeight="1">
      <c r="B63" s="32" t="s">
        <v>59</v>
      </c>
      <c r="C63" s="58">
        <f aca="true" t="shared" si="31" ref="C63:N63">ROUND(+C64+C68+C75+C83,1)</f>
        <v>618</v>
      </c>
      <c r="D63" s="59">
        <f t="shared" si="31"/>
        <v>754</v>
      </c>
      <c r="E63" s="59">
        <f t="shared" si="31"/>
        <v>843.5</v>
      </c>
      <c r="F63" s="59">
        <f t="shared" si="31"/>
        <v>784.9</v>
      </c>
      <c r="G63" s="59">
        <f t="shared" si="31"/>
        <v>802.6</v>
      </c>
      <c r="H63" s="59">
        <f t="shared" si="31"/>
        <v>978.8</v>
      </c>
      <c r="I63" s="59">
        <f t="shared" si="31"/>
        <v>847.5</v>
      </c>
      <c r="J63" s="59">
        <f t="shared" si="31"/>
        <v>962.9</v>
      </c>
      <c r="K63" s="59">
        <f t="shared" si="31"/>
        <v>652.4</v>
      </c>
      <c r="L63" s="59">
        <f t="shared" si="31"/>
        <v>659.3</v>
      </c>
      <c r="M63" s="59">
        <f t="shared" si="31"/>
        <v>414.1</v>
      </c>
      <c r="N63" s="59">
        <f t="shared" si="31"/>
        <v>460.8</v>
      </c>
      <c r="O63" s="59">
        <f>+O64+O68+O75+O83</f>
        <v>8778.8</v>
      </c>
      <c r="P63" s="58">
        <f aca="true" t="shared" si="32" ref="P63:AA63">ROUND(+P64+P68+P75+P83,1)</f>
        <v>533.7</v>
      </c>
      <c r="Q63" s="59">
        <f t="shared" si="32"/>
        <v>556.3</v>
      </c>
      <c r="R63" s="59">
        <f t="shared" si="32"/>
        <v>678.5</v>
      </c>
      <c r="S63" s="59">
        <f t="shared" si="32"/>
        <v>643.8</v>
      </c>
      <c r="T63" s="59">
        <f t="shared" si="32"/>
        <v>557.6</v>
      </c>
      <c r="U63" s="59">
        <f t="shared" si="32"/>
        <v>677</v>
      </c>
      <c r="V63" s="59">
        <f t="shared" si="32"/>
        <v>498.9</v>
      </c>
      <c r="W63" s="59">
        <f t="shared" si="32"/>
        <v>813.9</v>
      </c>
      <c r="X63" s="59">
        <f t="shared" si="32"/>
        <v>723.7</v>
      </c>
      <c r="Y63" s="59">
        <f t="shared" si="32"/>
        <v>569.8</v>
      </c>
      <c r="Z63" s="59">
        <f t="shared" si="32"/>
        <v>460.4</v>
      </c>
      <c r="AA63" s="59">
        <f t="shared" si="32"/>
        <v>2045.4</v>
      </c>
      <c r="AB63" s="59">
        <f>+AB64+AB68+AB75+AB83</f>
        <v>8759.000000000002</v>
      </c>
      <c r="AC63" s="58">
        <f t="shared" si="20"/>
        <v>-19.799999999997453</v>
      </c>
      <c r="AD63" s="60">
        <f t="shared" si="21"/>
        <v>-0.22554335444476986</v>
      </c>
      <c r="AE63" s="3"/>
    </row>
    <row r="64" spans="2:31" ht="22.5" customHeight="1">
      <c r="B64" s="62" t="s">
        <v>60</v>
      </c>
      <c r="C64" s="58">
        <f aca="true" t="shared" si="33" ref="C64:AB64">SUM(C65:C67)</f>
        <v>96.60000000000001</v>
      </c>
      <c r="D64" s="59">
        <f t="shared" si="33"/>
        <v>44.2</v>
      </c>
      <c r="E64" s="59">
        <f t="shared" si="33"/>
        <v>89.4</v>
      </c>
      <c r="F64" s="59">
        <f t="shared" si="33"/>
        <v>49.7</v>
      </c>
      <c r="G64" s="59">
        <f t="shared" si="33"/>
        <v>66.39999999999999</v>
      </c>
      <c r="H64" s="59">
        <f t="shared" si="33"/>
        <v>72.1</v>
      </c>
      <c r="I64" s="59">
        <f t="shared" si="33"/>
        <v>64.5</v>
      </c>
      <c r="J64" s="59">
        <f t="shared" si="33"/>
        <v>88.5</v>
      </c>
      <c r="K64" s="59">
        <f t="shared" si="33"/>
        <v>30.7</v>
      </c>
      <c r="L64" s="59">
        <f t="shared" si="33"/>
        <v>0.30000000000000004</v>
      </c>
      <c r="M64" s="59">
        <f t="shared" si="33"/>
        <v>197.7</v>
      </c>
      <c r="N64" s="59">
        <f t="shared" si="33"/>
        <v>0.1</v>
      </c>
      <c r="O64" s="59">
        <f t="shared" si="33"/>
        <v>800.2</v>
      </c>
      <c r="P64" s="58">
        <f t="shared" si="33"/>
        <v>43.6</v>
      </c>
      <c r="Q64" s="59">
        <f t="shared" si="33"/>
        <v>57.10000000000001</v>
      </c>
      <c r="R64" s="59">
        <f t="shared" si="33"/>
        <v>47.00000000000001</v>
      </c>
      <c r="S64" s="59">
        <f t="shared" si="33"/>
        <v>48.5</v>
      </c>
      <c r="T64" s="59">
        <f t="shared" si="33"/>
        <v>47.2</v>
      </c>
      <c r="U64" s="59">
        <f t="shared" si="33"/>
        <v>80.89999999999999</v>
      </c>
      <c r="V64" s="59">
        <f t="shared" si="33"/>
        <v>58.300000000000004</v>
      </c>
      <c r="W64" s="59">
        <f t="shared" si="33"/>
        <v>67.8</v>
      </c>
      <c r="X64" s="59">
        <f t="shared" si="33"/>
        <v>100.89999999999999</v>
      </c>
      <c r="Y64" s="59">
        <f t="shared" si="33"/>
        <v>50.300000000000004</v>
      </c>
      <c r="Z64" s="59">
        <f t="shared" si="33"/>
        <v>60.99999999999999</v>
      </c>
      <c r="AA64" s="59">
        <f t="shared" si="33"/>
        <v>82.9</v>
      </c>
      <c r="AB64" s="59">
        <f t="shared" si="33"/>
        <v>745.5000000000001</v>
      </c>
      <c r="AC64" s="58">
        <f t="shared" si="20"/>
        <v>-54.69999999999993</v>
      </c>
      <c r="AD64" s="60">
        <f t="shared" si="21"/>
        <v>-6.8357910522369325</v>
      </c>
      <c r="AE64" s="3"/>
    </row>
    <row r="65" spans="2:31" ht="17.25" customHeight="1">
      <c r="B65" s="63" t="s">
        <v>61</v>
      </c>
      <c r="C65" s="37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9">
        <f>SUM(C65:N65)</f>
        <v>0</v>
      </c>
      <c r="P65" s="37">
        <v>36.4</v>
      </c>
      <c r="Q65" s="38">
        <v>48.7</v>
      </c>
      <c r="R65" s="38">
        <v>36.6</v>
      </c>
      <c r="S65" s="38">
        <v>43.8</v>
      </c>
      <c r="T65" s="38">
        <v>43</v>
      </c>
      <c r="U65" s="38">
        <v>76.3</v>
      </c>
      <c r="V65" s="38">
        <v>54.1</v>
      </c>
      <c r="W65" s="38">
        <v>62.5</v>
      </c>
      <c r="X65" s="38">
        <v>95.5</v>
      </c>
      <c r="Y65" s="38">
        <v>44.7</v>
      </c>
      <c r="Z65" s="38">
        <v>54.8</v>
      </c>
      <c r="AA65" s="38">
        <v>78.7</v>
      </c>
      <c r="AB65" s="39">
        <f>SUM(P65:AA65)</f>
        <v>675.1</v>
      </c>
      <c r="AC65" s="40">
        <f t="shared" si="20"/>
        <v>675.1</v>
      </c>
      <c r="AD65" s="41">
        <v>100</v>
      </c>
      <c r="AE65" s="3"/>
    </row>
    <row r="66" spans="2:31" ht="17.25" customHeight="1">
      <c r="B66" s="63" t="s">
        <v>62</v>
      </c>
      <c r="C66" s="37">
        <v>96.2</v>
      </c>
      <c r="D66" s="38">
        <v>43.5</v>
      </c>
      <c r="E66" s="38">
        <v>88.7</v>
      </c>
      <c r="F66" s="38">
        <v>49.7</v>
      </c>
      <c r="G66" s="38">
        <v>63.8</v>
      </c>
      <c r="H66" s="38">
        <v>71.6</v>
      </c>
      <c r="I66" s="38">
        <v>64.3</v>
      </c>
      <c r="J66" s="38">
        <v>88.3</v>
      </c>
      <c r="K66" s="38">
        <v>30.5</v>
      </c>
      <c r="L66" s="38">
        <v>0.2</v>
      </c>
      <c r="M66" s="38">
        <v>197.7</v>
      </c>
      <c r="N66" s="38">
        <v>0.1</v>
      </c>
      <c r="O66" s="39">
        <f>SUM(C66:N66)</f>
        <v>794.6</v>
      </c>
      <c r="P66" s="37">
        <v>7</v>
      </c>
      <c r="Q66" s="38">
        <v>8.2</v>
      </c>
      <c r="R66" s="38">
        <v>10.3</v>
      </c>
      <c r="S66" s="38">
        <v>4.7</v>
      </c>
      <c r="T66" s="38">
        <v>4.2</v>
      </c>
      <c r="U66" s="38">
        <v>4.5</v>
      </c>
      <c r="V66" s="38">
        <v>4.2</v>
      </c>
      <c r="W66" s="38">
        <v>5.2</v>
      </c>
      <c r="X66" s="38">
        <v>5.3</v>
      </c>
      <c r="Y66" s="38">
        <v>5.5</v>
      </c>
      <c r="Z66" s="38">
        <v>5.9</v>
      </c>
      <c r="AA66" s="38">
        <v>4.2</v>
      </c>
      <c r="AB66" s="39">
        <f>SUM(P66:AA66)</f>
        <v>69.2</v>
      </c>
      <c r="AC66" s="40">
        <f t="shared" si="20"/>
        <v>-725.4</v>
      </c>
      <c r="AD66" s="41">
        <f aca="true" t="shared" si="34" ref="AD66:AD75">+AC66/O66*100</f>
        <v>-91.2912157060156</v>
      </c>
      <c r="AE66" s="3"/>
    </row>
    <row r="67" spans="2:31" ht="18" customHeight="1">
      <c r="B67" s="63" t="s">
        <v>63</v>
      </c>
      <c r="C67" s="37">
        <v>0.4</v>
      </c>
      <c r="D67" s="38">
        <v>0.7</v>
      </c>
      <c r="E67" s="38">
        <v>0.7</v>
      </c>
      <c r="F67" s="38">
        <v>0</v>
      </c>
      <c r="G67" s="38">
        <v>2.6</v>
      </c>
      <c r="H67" s="38">
        <v>0.5</v>
      </c>
      <c r="I67" s="38">
        <v>0.2</v>
      </c>
      <c r="J67" s="38">
        <v>0.2</v>
      </c>
      <c r="K67" s="38">
        <v>0.2</v>
      </c>
      <c r="L67" s="38">
        <v>0.1</v>
      </c>
      <c r="M67" s="38">
        <v>0</v>
      </c>
      <c r="N67" s="38">
        <v>0</v>
      </c>
      <c r="O67" s="39">
        <f>SUM(C67:N67)</f>
        <v>5.6000000000000005</v>
      </c>
      <c r="P67" s="37">
        <v>0.2</v>
      </c>
      <c r="Q67" s="38">
        <v>0.2</v>
      </c>
      <c r="R67" s="38">
        <v>0.1</v>
      </c>
      <c r="S67" s="38">
        <v>0</v>
      </c>
      <c r="T67" s="38">
        <v>0</v>
      </c>
      <c r="U67" s="38">
        <v>0.1</v>
      </c>
      <c r="V67" s="38">
        <v>0</v>
      </c>
      <c r="W67" s="38">
        <v>0.1</v>
      </c>
      <c r="X67" s="38">
        <v>0.1</v>
      </c>
      <c r="Y67" s="38">
        <v>0.1</v>
      </c>
      <c r="Z67" s="38">
        <v>0.3</v>
      </c>
      <c r="AA67" s="38">
        <v>0</v>
      </c>
      <c r="AB67" s="39">
        <f>SUM(P67:AA67)</f>
        <v>1.2</v>
      </c>
      <c r="AC67" s="40">
        <f t="shared" si="20"/>
        <v>-4.4</v>
      </c>
      <c r="AD67" s="41">
        <f t="shared" si="34"/>
        <v>-78.57142857142857</v>
      </c>
      <c r="AE67" s="3"/>
    </row>
    <row r="68" spans="2:31" ht="22.5" customHeight="1">
      <c r="B68" s="62" t="s">
        <v>64</v>
      </c>
      <c r="C68" s="58">
        <f aca="true" t="shared" si="35" ref="C68:N68">ROUND(SUM(C69:C74),1)</f>
        <v>397.8</v>
      </c>
      <c r="D68" s="59">
        <f t="shared" si="35"/>
        <v>430.6</v>
      </c>
      <c r="E68" s="59">
        <f t="shared" si="35"/>
        <v>507.1</v>
      </c>
      <c r="F68" s="59">
        <f t="shared" si="35"/>
        <v>398.9</v>
      </c>
      <c r="G68" s="59">
        <f t="shared" si="35"/>
        <v>422.2</v>
      </c>
      <c r="H68" s="59">
        <f t="shared" si="35"/>
        <v>370.7</v>
      </c>
      <c r="I68" s="59">
        <f t="shared" si="35"/>
        <v>417.7</v>
      </c>
      <c r="J68" s="59">
        <f t="shared" si="35"/>
        <v>478</v>
      </c>
      <c r="K68" s="59">
        <f t="shared" si="35"/>
        <v>355.4</v>
      </c>
      <c r="L68" s="59">
        <f t="shared" si="35"/>
        <v>199.6</v>
      </c>
      <c r="M68" s="59">
        <f t="shared" si="35"/>
        <v>184.5</v>
      </c>
      <c r="N68" s="59">
        <f t="shared" si="35"/>
        <v>209.5</v>
      </c>
      <c r="O68" s="59">
        <f>SUM(O69:O74)</f>
        <v>4372</v>
      </c>
      <c r="P68" s="58">
        <f aca="true" t="shared" si="36" ref="P68:AA68">ROUND(SUM(P69:P74),1)</f>
        <v>313.2</v>
      </c>
      <c r="Q68" s="59">
        <f t="shared" si="36"/>
        <v>317</v>
      </c>
      <c r="R68" s="59">
        <f t="shared" si="36"/>
        <v>404.9</v>
      </c>
      <c r="S68" s="59">
        <f t="shared" si="36"/>
        <v>316.2</v>
      </c>
      <c r="T68" s="59">
        <f t="shared" si="36"/>
        <v>375.6</v>
      </c>
      <c r="U68" s="59">
        <f t="shared" si="36"/>
        <v>303.8</v>
      </c>
      <c r="V68" s="59">
        <f t="shared" si="36"/>
        <v>294.3</v>
      </c>
      <c r="W68" s="59">
        <f t="shared" si="36"/>
        <v>386.4</v>
      </c>
      <c r="X68" s="59">
        <f t="shared" si="36"/>
        <v>355.2</v>
      </c>
      <c r="Y68" s="59">
        <f t="shared" si="36"/>
        <v>328.4</v>
      </c>
      <c r="Z68" s="59">
        <f t="shared" si="36"/>
        <v>293.8</v>
      </c>
      <c r="AA68" s="59">
        <f t="shared" si="36"/>
        <v>1261.1</v>
      </c>
      <c r="AB68" s="59">
        <f>SUM(AB69:AB74)</f>
        <v>4949.900000000001</v>
      </c>
      <c r="AC68" s="58">
        <f t="shared" si="20"/>
        <v>577.9000000000005</v>
      </c>
      <c r="AD68" s="60">
        <f t="shared" si="34"/>
        <v>13.218206770356828</v>
      </c>
      <c r="AE68" s="3"/>
    </row>
    <row r="69" spans="2:31" ht="16.5" customHeight="1">
      <c r="B69" s="47" t="s">
        <v>65</v>
      </c>
      <c r="C69" s="37">
        <v>101</v>
      </c>
      <c r="D69" s="38">
        <v>116.1</v>
      </c>
      <c r="E69" s="38">
        <v>129.1</v>
      </c>
      <c r="F69" s="38">
        <v>128.8</v>
      </c>
      <c r="G69" s="38">
        <v>117.3</v>
      </c>
      <c r="H69" s="38">
        <v>107.9</v>
      </c>
      <c r="I69" s="38">
        <v>137.6</v>
      </c>
      <c r="J69" s="38">
        <v>176.1</v>
      </c>
      <c r="K69" s="38">
        <v>151.4</v>
      </c>
      <c r="L69" s="38">
        <v>99.6</v>
      </c>
      <c r="M69" s="38">
        <v>80.1</v>
      </c>
      <c r="N69" s="38">
        <v>88.5</v>
      </c>
      <c r="O69" s="39">
        <f aca="true" t="shared" si="37" ref="O69:O74">SUM(C69:N69)</f>
        <v>1433.4999999999998</v>
      </c>
      <c r="P69" s="37">
        <v>93.5</v>
      </c>
      <c r="Q69" s="38">
        <v>110.8</v>
      </c>
      <c r="R69" s="38">
        <v>164.3</v>
      </c>
      <c r="S69" s="38">
        <v>118.8</v>
      </c>
      <c r="T69" s="38">
        <v>218.2</v>
      </c>
      <c r="U69" s="38">
        <v>116.2</v>
      </c>
      <c r="V69" s="38">
        <v>103.6</v>
      </c>
      <c r="W69" s="38">
        <v>116</v>
      </c>
      <c r="X69" s="38">
        <v>163.1</v>
      </c>
      <c r="Y69" s="38">
        <v>131.1</v>
      </c>
      <c r="Z69" s="38">
        <v>110.8</v>
      </c>
      <c r="AA69" s="38">
        <v>100.4</v>
      </c>
      <c r="AB69" s="39">
        <f aca="true" t="shared" si="38" ref="AB69:AB74">SUM(P69:AA69)</f>
        <v>1546.8</v>
      </c>
      <c r="AC69" s="40">
        <f t="shared" si="20"/>
        <v>113.30000000000018</v>
      </c>
      <c r="AD69" s="41">
        <f t="shared" si="34"/>
        <v>7.903732124171622</v>
      </c>
      <c r="AE69" s="3"/>
    </row>
    <row r="70" spans="2:31" ht="16.5" customHeight="1">
      <c r="B70" s="47" t="s">
        <v>66</v>
      </c>
      <c r="C70" s="37">
        <v>112.6</v>
      </c>
      <c r="D70" s="38">
        <v>123.2</v>
      </c>
      <c r="E70" s="38">
        <v>126.3</v>
      </c>
      <c r="F70" s="38">
        <v>86.9</v>
      </c>
      <c r="G70" s="38">
        <v>92.4</v>
      </c>
      <c r="H70" s="38">
        <v>81.7</v>
      </c>
      <c r="I70" s="38">
        <v>79.9</v>
      </c>
      <c r="J70" s="38">
        <v>88.8</v>
      </c>
      <c r="K70" s="38">
        <v>74.5</v>
      </c>
      <c r="L70" s="38">
        <v>48.7</v>
      </c>
      <c r="M70" s="38">
        <v>59</v>
      </c>
      <c r="N70" s="38">
        <v>63</v>
      </c>
      <c r="O70" s="39">
        <f t="shared" si="37"/>
        <v>1037</v>
      </c>
      <c r="P70" s="37">
        <v>89.7</v>
      </c>
      <c r="Q70" s="38">
        <v>67.1</v>
      </c>
      <c r="R70" s="38">
        <v>87.3</v>
      </c>
      <c r="S70" s="38">
        <v>68.2</v>
      </c>
      <c r="T70" s="38">
        <v>36.5</v>
      </c>
      <c r="U70" s="38">
        <v>63.6</v>
      </c>
      <c r="V70" s="38">
        <v>80.2</v>
      </c>
      <c r="W70" s="38">
        <v>104.6</v>
      </c>
      <c r="X70" s="38">
        <v>53.4</v>
      </c>
      <c r="Y70" s="38">
        <v>57.1</v>
      </c>
      <c r="Z70" s="38">
        <v>61.4</v>
      </c>
      <c r="AA70" s="38">
        <v>94.3</v>
      </c>
      <c r="AB70" s="39">
        <f t="shared" si="38"/>
        <v>863.4</v>
      </c>
      <c r="AC70" s="40">
        <f t="shared" si="20"/>
        <v>-173.60000000000002</v>
      </c>
      <c r="AD70" s="41">
        <f t="shared" si="34"/>
        <v>-16.740597878495663</v>
      </c>
      <c r="AE70" s="3"/>
    </row>
    <row r="71" spans="2:31" ht="16.5" customHeight="1">
      <c r="B71" s="47" t="s">
        <v>67</v>
      </c>
      <c r="C71" s="37">
        <v>37.6</v>
      </c>
      <c r="D71" s="38">
        <v>37.3</v>
      </c>
      <c r="E71" s="38">
        <v>41.1</v>
      </c>
      <c r="F71" s="38">
        <v>39.4</v>
      </c>
      <c r="G71" s="38">
        <v>37.8</v>
      </c>
      <c r="H71" s="38">
        <v>38.1</v>
      </c>
      <c r="I71" s="38">
        <v>41.3</v>
      </c>
      <c r="J71" s="38">
        <v>39.9</v>
      </c>
      <c r="K71" s="38">
        <v>35</v>
      </c>
      <c r="L71" s="38">
        <v>37.7</v>
      </c>
      <c r="M71" s="38">
        <v>37.1</v>
      </c>
      <c r="N71" s="38">
        <v>41.8</v>
      </c>
      <c r="O71" s="39">
        <f t="shared" si="37"/>
        <v>464.09999999999997</v>
      </c>
      <c r="P71" s="37">
        <v>38.2</v>
      </c>
      <c r="Q71" s="38">
        <v>36.2</v>
      </c>
      <c r="R71" s="38">
        <v>40.1</v>
      </c>
      <c r="S71" s="38">
        <v>38.9</v>
      </c>
      <c r="T71" s="38">
        <v>38.2</v>
      </c>
      <c r="U71" s="38">
        <v>38</v>
      </c>
      <c r="V71" s="38">
        <v>40.1</v>
      </c>
      <c r="W71" s="38">
        <v>39.7</v>
      </c>
      <c r="X71" s="38">
        <v>36.6</v>
      </c>
      <c r="Y71" s="38">
        <v>35.9</v>
      </c>
      <c r="Z71" s="38">
        <v>37.8</v>
      </c>
      <c r="AA71" s="38">
        <v>42.6</v>
      </c>
      <c r="AB71" s="39">
        <f t="shared" si="38"/>
        <v>462.30000000000007</v>
      </c>
      <c r="AC71" s="40">
        <f t="shared" si="20"/>
        <v>-1.7999999999998977</v>
      </c>
      <c r="AD71" s="41">
        <f t="shared" si="34"/>
        <v>-0.38784744667095405</v>
      </c>
      <c r="AE71" s="3"/>
    </row>
    <row r="72" spans="2:31" ht="16.5" customHeight="1">
      <c r="B72" s="47" t="s">
        <v>68</v>
      </c>
      <c r="C72" s="37">
        <v>3.2</v>
      </c>
      <c r="D72" s="38">
        <v>2.6</v>
      </c>
      <c r="E72" s="38">
        <v>5.6</v>
      </c>
      <c r="F72" s="38">
        <v>4.5</v>
      </c>
      <c r="G72" s="38">
        <v>3.8</v>
      </c>
      <c r="H72" s="38">
        <v>2.6</v>
      </c>
      <c r="I72" s="38">
        <v>1.7</v>
      </c>
      <c r="J72" s="38">
        <v>2.7</v>
      </c>
      <c r="K72" s="38">
        <v>3.2</v>
      </c>
      <c r="L72" s="38">
        <v>2.8</v>
      </c>
      <c r="M72" s="38">
        <v>1</v>
      </c>
      <c r="N72" s="38">
        <v>3.4</v>
      </c>
      <c r="O72" s="39">
        <f t="shared" si="37"/>
        <v>37.099999999999994</v>
      </c>
      <c r="P72" s="37">
        <v>41.1</v>
      </c>
      <c r="Q72" s="38">
        <v>38.4</v>
      </c>
      <c r="R72" s="38">
        <v>43.2</v>
      </c>
      <c r="S72" s="38">
        <v>43.1</v>
      </c>
      <c r="T72" s="38">
        <v>37.5</v>
      </c>
      <c r="U72" s="38">
        <v>41</v>
      </c>
      <c r="V72" s="38">
        <v>41.4</v>
      </c>
      <c r="W72" s="38">
        <v>44.7</v>
      </c>
      <c r="X72" s="38">
        <v>46.1</v>
      </c>
      <c r="Y72" s="38">
        <v>45.9</v>
      </c>
      <c r="Z72" s="38">
        <v>39.7</v>
      </c>
      <c r="AA72" s="38">
        <v>40.9</v>
      </c>
      <c r="AB72" s="39">
        <f t="shared" si="38"/>
        <v>502.99999999999994</v>
      </c>
      <c r="AC72" s="40">
        <f t="shared" si="20"/>
        <v>465.9</v>
      </c>
      <c r="AD72" s="41">
        <f t="shared" si="34"/>
        <v>1255.7951482479784</v>
      </c>
      <c r="AE72" s="3"/>
    </row>
    <row r="73" spans="2:31" ht="18" customHeight="1">
      <c r="B73" s="47" t="s">
        <v>69</v>
      </c>
      <c r="C73" s="37">
        <v>134.5</v>
      </c>
      <c r="D73" s="38">
        <v>140.1</v>
      </c>
      <c r="E73" s="38">
        <v>188.4</v>
      </c>
      <c r="F73" s="38">
        <v>123.6</v>
      </c>
      <c r="G73" s="38">
        <v>158.6</v>
      </c>
      <c r="H73" s="38">
        <v>133.4</v>
      </c>
      <c r="I73" s="38">
        <v>152.5</v>
      </c>
      <c r="J73" s="38">
        <v>164</v>
      </c>
      <c r="K73" s="38">
        <v>85</v>
      </c>
      <c r="L73" s="38">
        <v>3</v>
      </c>
      <c r="M73" s="38">
        <v>1.5</v>
      </c>
      <c r="N73" s="38">
        <v>3.2</v>
      </c>
      <c r="O73" s="39">
        <f t="shared" si="37"/>
        <v>1287.8</v>
      </c>
      <c r="P73" s="37">
        <v>37.9</v>
      </c>
      <c r="Q73" s="38">
        <v>44</v>
      </c>
      <c r="R73" s="38">
        <v>51.7</v>
      </c>
      <c r="S73" s="38">
        <v>27.8</v>
      </c>
      <c r="T73" s="38">
        <v>26.7</v>
      </c>
      <c r="U73" s="38">
        <v>29.3</v>
      </c>
      <c r="V73" s="38">
        <v>14.6</v>
      </c>
      <c r="W73" s="38">
        <v>30.5</v>
      </c>
      <c r="X73" s="38">
        <v>25.2</v>
      </c>
      <c r="Y73" s="38">
        <v>28.3</v>
      </c>
      <c r="Z73" s="38">
        <v>15.4</v>
      </c>
      <c r="AA73" s="38">
        <v>949.2</v>
      </c>
      <c r="AB73" s="39">
        <f t="shared" si="38"/>
        <v>1280.6</v>
      </c>
      <c r="AC73" s="40">
        <f t="shared" si="20"/>
        <v>-7.2000000000000455</v>
      </c>
      <c r="AD73" s="41">
        <f t="shared" si="34"/>
        <v>-0.5590930268675296</v>
      </c>
      <c r="AE73" s="3"/>
    </row>
    <row r="74" spans="2:31" ht="17.25" customHeight="1">
      <c r="B74" s="47" t="s">
        <v>30</v>
      </c>
      <c r="C74" s="37">
        <f>5.1+7-3.2</f>
        <v>8.899999999999999</v>
      </c>
      <c r="D74" s="38">
        <f>3.6+10.3-2.6</f>
        <v>11.3</v>
      </c>
      <c r="E74" s="38">
        <f>14.2+8-5.6</f>
        <v>16.6</v>
      </c>
      <c r="F74" s="38">
        <f>14.1+6.1-4.5</f>
        <v>15.7</v>
      </c>
      <c r="G74" s="38">
        <f>10+6.1-3.8</f>
        <v>12.3</v>
      </c>
      <c r="H74" s="38">
        <v>7</v>
      </c>
      <c r="I74" s="38">
        <f>5.4+1-1.7</f>
        <v>4.7</v>
      </c>
      <c r="J74" s="38">
        <f>5.1+4.1-2.7</f>
        <v>6.499999999999999</v>
      </c>
      <c r="K74" s="38">
        <f>4.9+4.6-3.2</f>
        <v>6.3</v>
      </c>
      <c r="L74" s="38">
        <f>4.9+5.7-2.8</f>
        <v>7.800000000000002</v>
      </c>
      <c r="M74" s="38">
        <f>2.8+4-1</f>
        <v>5.8</v>
      </c>
      <c r="N74" s="38">
        <v>9.6</v>
      </c>
      <c r="O74" s="39">
        <f t="shared" si="37"/>
        <v>112.49999999999999</v>
      </c>
      <c r="P74" s="37">
        <v>12.8</v>
      </c>
      <c r="Q74" s="38">
        <v>20.5</v>
      </c>
      <c r="R74" s="38">
        <v>18.3</v>
      </c>
      <c r="S74" s="38">
        <v>19.4</v>
      </c>
      <c r="T74" s="38">
        <v>18.5</v>
      </c>
      <c r="U74" s="38">
        <v>15.7</v>
      </c>
      <c r="V74" s="38">
        <v>14.4</v>
      </c>
      <c r="W74" s="38">
        <v>50.9</v>
      </c>
      <c r="X74" s="38">
        <v>30.8</v>
      </c>
      <c r="Y74" s="38">
        <v>30.1</v>
      </c>
      <c r="Z74" s="38">
        <v>28.7</v>
      </c>
      <c r="AA74" s="38">
        <v>33.7</v>
      </c>
      <c r="AB74" s="39">
        <f t="shared" si="38"/>
        <v>293.8</v>
      </c>
      <c r="AC74" s="40">
        <f t="shared" si="20"/>
        <v>181.3</v>
      </c>
      <c r="AD74" s="41">
        <f t="shared" si="34"/>
        <v>161.1555555555556</v>
      </c>
      <c r="AE74" s="3"/>
    </row>
    <row r="75" spans="2:31" ht="23.25" customHeight="1">
      <c r="B75" s="62" t="s">
        <v>70</v>
      </c>
      <c r="C75" s="58">
        <f aca="true" t="shared" si="39" ref="C75:AB75">+C76+C80+C82+C79</f>
        <v>120.6</v>
      </c>
      <c r="D75" s="58">
        <f t="shared" si="39"/>
        <v>274.1</v>
      </c>
      <c r="E75" s="58">
        <f t="shared" si="39"/>
        <v>244.4</v>
      </c>
      <c r="F75" s="58">
        <f t="shared" si="39"/>
        <v>331</v>
      </c>
      <c r="G75" s="58">
        <f t="shared" si="39"/>
        <v>308.1</v>
      </c>
      <c r="H75" s="58">
        <f t="shared" si="39"/>
        <v>515.1</v>
      </c>
      <c r="I75" s="58">
        <f t="shared" si="39"/>
        <v>361</v>
      </c>
      <c r="J75" s="58">
        <f t="shared" si="39"/>
        <v>209.9</v>
      </c>
      <c r="K75" s="58">
        <f t="shared" si="39"/>
        <v>263.9</v>
      </c>
      <c r="L75" s="58">
        <f t="shared" si="39"/>
        <v>455.2</v>
      </c>
      <c r="M75" s="58">
        <f t="shared" si="39"/>
        <v>28.9</v>
      </c>
      <c r="N75" s="58">
        <f t="shared" si="39"/>
        <v>47.5</v>
      </c>
      <c r="O75" s="58">
        <f t="shared" si="39"/>
        <v>3159.7</v>
      </c>
      <c r="P75" s="58">
        <f t="shared" si="39"/>
        <v>170.29999999999998</v>
      </c>
      <c r="Q75" s="58">
        <f t="shared" si="39"/>
        <v>163.5</v>
      </c>
      <c r="R75" s="58">
        <f t="shared" si="39"/>
        <v>171.8</v>
      </c>
      <c r="S75" s="58">
        <f t="shared" si="39"/>
        <v>272.09999999999997</v>
      </c>
      <c r="T75" s="58">
        <f t="shared" si="39"/>
        <v>124.7</v>
      </c>
      <c r="U75" s="58">
        <f t="shared" si="39"/>
        <v>284.4</v>
      </c>
      <c r="V75" s="58">
        <f t="shared" si="39"/>
        <v>125.5</v>
      </c>
      <c r="W75" s="58">
        <f t="shared" si="39"/>
        <v>348.79999999999995</v>
      </c>
      <c r="X75" s="58">
        <f t="shared" si="39"/>
        <v>258.59999999999997</v>
      </c>
      <c r="Y75" s="58">
        <f t="shared" si="39"/>
        <v>175.1</v>
      </c>
      <c r="Z75" s="58">
        <f t="shared" si="39"/>
        <v>98.9</v>
      </c>
      <c r="AA75" s="58">
        <f t="shared" si="39"/>
        <v>305.70000000000005</v>
      </c>
      <c r="AB75" s="59">
        <f t="shared" si="39"/>
        <v>2499.4000000000005</v>
      </c>
      <c r="AC75" s="58">
        <f t="shared" si="20"/>
        <v>-660.2999999999993</v>
      </c>
      <c r="AD75" s="60">
        <f t="shared" si="34"/>
        <v>-20.897553565211865</v>
      </c>
      <c r="AE75" s="3"/>
    </row>
    <row r="76" spans="2:31" ht="17.25" customHeight="1">
      <c r="B76" s="64" t="s">
        <v>71</v>
      </c>
      <c r="C76" s="58">
        <f aca="true" t="shared" si="40" ref="C76:N76">+C77+C78</f>
        <v>0</v>
      </c>
      <c r="D76" s="59">
        <f t="shared" si="40"/>
        <v>0</v>
      </c>
      <c r="E76" s="59">
        <f t="shared" si="40"/>
        <v>0</v>
      </c>
      <c r="F76" s="59">
        <f t="shared" si="40"/>
        <v>0</v>
      </c>
      <c r="G76" s="59">
        <f t="shared" si="40"/>
        <v>0</v>
      </c>
      <c r="H76" s="59">
        <f t="shared" si="40"/>
        <v>0</v>
      </c>
      <c r="I76" s="59">
        <f t="shared" si="40"/>
        <v>0</v>
      </c>
      <c r="J76" s="59">
        <f t="shared" si="40"/>
        <v>0</v>
      </c>
      <c r="K76" s="59">
        <f t="shared" si="40"/>
        <v>0</v>
      </c>
      <c r="L76" s="59">
        <f t="shared" si="40"/>
        <v>0</v>
      </c>
      <c r="M76" s="59">
        <f t="shared" si="40"/>
        <v>0</v>
      </c>
      <c r="N76" s="59">
        <f t="shared" si="40"/>
        <v>0</v>
      </c>
      <c r="O76" s="30">
        <f>SUM(C76:N76)</f>
        <v>0</v>
      </c>
      <c r="P76" s="58">
        <f aca="true" t="shared" si="41" ref="P76:AA76">+P77+P78</f>
        <v>0</v>
      </c>
      <c r="Q76" s="59">
        <f t="shared" si="41"/>
        <v>0</v>
      </c>
      <c r="R76" s="59">
        <f t="shared" si="41"/>
        <v>0</v>
      </c>
      <c r="S76" s="59">
        <f t="shared" si="41"/>
        <v>79.7</v>
      </c>
      <c r="T76" s="59">
        <f t="shared" si="41"/>
        <v>1.5</v>
      </c>
      <c r="U76" s="59">
        <f t="shared" si="41"/>
        <v>0</v>
      </c>
      <c r="V76" s="59">
        <f t="shared" si="41"/>
        <v>0</v>
      </c>
      <c r="W76" s="59">
        <f t="shared" si="41"/>
        <v>113.5</v>
      </c>
      <c r="X76" s="59">
        <f t="shared" si="41"/>
        <v>0</v>
      </c>
      <c r="Y76" s="59">
        <f t="shared" si="41"/>
        <v>0</v>
      </c>
      <c r="Z76" s="59">
        <f t="shared" si="41"/>
        <v>0</v>
      </c>
      <c r="AA76" s="59">
        <f t="shared" si="41"/>
        <v>181.8</v>
      </c>
      <c r="AB76" s="30">
        <f>SUM(P76:AA76)</f>
        <v>376.5</v>
      </c>
      <c r="AC76" s="29">
        <f t="shared" si="20"/>
        <v>376.5</v>
      </c>
      <c r="AD76" s="31">
        <v>100</v>
      </c>
      <c r="AE76" s="3"/>
    </row>
    <row r="77" spans="2:31" ht="16.5" customHeight="1">
      <c r="B77" s="65" t="s">
        <v>72</v>
      </c>
      <c r="C77" s="37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9">
        <f>SUM(C77:N77)</f>
        <v>0</v>
      </c>
      <c r="P77" s="37">
        <v>0</v>
      </c>
      <c r="Q77" s="38">
        <v>0</v>
      </c>
      <c r="R77" s="38">
        <v>0</v>
      </c>
      <c r="S77" s="38">
        <v>79.7</v>
      </c>
      <c r="T77" s="38">
        <v>1.5</v>
      </c>
      <c r="U77" s="38">
        <v>0</v>
      </c>
      <c r="V77" s="38">
        <v>0</v>
      </c>
      <c r="W77" s="38">
        <v>113.5</v>
      </c>
      <c r="X77" s="38">
        <v>0</v>
      </c>
      <c r="Y77" s="38">
        <v>0</v>
      </c>
      <c r="Z77" s="38">
        <v>0</v>
      </c>
      <c r="AA77" s="38">
        <v>181.8</v>
      </c>
      <c r="AB77" s="39">
        <f>SUM(P77:AA77)</f>
        <v>376.5</v>
      </c>
      <c r="AC77" s="40">
        <f t="shared" si="20"/>
        <v>376.5</v>
      </c>
      <c r="AD77" s="41">
        <v>100</v>
      </c>
      <c r="AE77" s="3"/>
    </row>
    <row r="78" spans="2:31" ht="16.5" customHeight="1">
      <c r="B78" s="65" t="s">
        <v>73</v>
      </c>
      <c r="C78" s="37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9">
        <f>SUM(C78:N78)</f>
        <v>0</v>
      </c>
      <c r="P78" s="37">
        <v>0</v>
      </c>
      <c r="Q78" s="38">
        <v>0</v>
      </c>
      <c r="R78" s="38">
        <v>0</v>
      </c>
      <c r="S78" s="38">
        <v>0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9">
        <f>SUM(P78:AA78)</f>
        <v>0</v>
      </c>
      <c r="AC78" s="40">
        <f>+AB78-O78</f>
        <v>0</v>
      </c>
      <c r="AD78" s="41">
        <v>0</v>
      </c>
      <c r="AE78" s="3"/>
    </row>
    <row r="79" spans="2:31" ht="16.5" customHeight="1">
      <c r="B79" s="66" t="s">
        <v>74</v>
      </c>
      <c r="C79" s="58">
        <v>0</v>
      </c>
      <c r="D79" s="59">
        <v>0</v>
      </c>
      <c r="E79" s="59">
        <v>0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30">
        <f>SUM(C79:N79)</f>
        <v>0</v>
      </c>
      <c r="P79" s="58">
        <v>0</v>
      </c>
      <c r="Q79" s="59">
        <v>0</v>
      </c>
      <c r="R79" s="59">
        <v>0</v>
      </c>
      <c r="S79" s="59">
        <v>0</v>
      </c>
      <c r="T79" s="59">
        <v>0.3</v>
      </c>
      <c r="U79" s="59">
        <v>0.2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v>0</v>
      </c>
      <c r="AB79" s="30">
        <f>SUM(P79:AA79)</f>
        <v>0.5</v>
      </c>
      <c r="AC79" s="29">
        <f>+AB79-O79</f>
        <v>0.5</v>
      </c>
      <c r="AD79" s="31">
        <v>100</v>
      </c>
      <c r="AE79" s="3"/>
    </row>
    <row r="80" spans="2:31" ht="17.25" customHeight="1">
      <c r="B80" s="64" t="s">
        <v>75</v>
      </c>
      <c r="C80" s="58">
        <f aca="true" t="shared" si="42" ref="C80:AB80">+C81</f>
        <v>120.6</v>
      </c>
      <c r="D80" s="59">
        <f t="shared" si="42"/>
        <v>266.3</v>
      </c>
      <c r="E80" s="59">
        <f t="shared" si="42"/>
        <v>243.4</v>
      </c>
      <c r="F80" s="59">
        <f t="shared" si="42"/>
        <v>331</v>
      </c>
      <c r="G80" s="59">
        <f t="shared" si="42"/>
        <v>308.1</v>
      </c>
      <c r="H80" s="59">
        <f t="shared" si="42"/>
        <v>515.1</v>
      </c>
      <c r="I80" s="59">
        <f t="shared" si="42"/>
        <v>361</v>
      </c>
      <c r="J80" s="59">
        <f t="shared" si="42"/>
        <v>209.9</v>
      </c>
      <c r="K80" s="59">
        <f t="shared" si="42"/>
        <v>254.7</v>
      </c>
      <c r="L80" s="59">
        <f t="shared" si="42"/>
        <v>443</v>
      </c>
      <c r="M80" s="59">
        <f t="shared" si="42"/>
        <v>28.9</v>
      </c>
      <c r="N80" s="59">
        <f t="shared" si="42"/>
        <v>47.1</v>
      </c>
      <c r="O80" s="30">
        <f t="shared" si="42"/>
        <v>3129.1</v>
      </c>
      <c r="P80" s="58">
        <f t="shared" si="42"/>
        <v>159.6</v>
      </c>
      <c r="Q80" s="59">
        <f t="shared" si="42"/>
        <v>163.5</v>
      </c>
      <c r="R80" s="59">
        <f t="shared" si="42"/>
        <v>158.4</v>
      </c>
      <c r="S80" s="59">
        <f t="shared" si="42"/>
        <v>180.5</v>
      </c>
      <c r="T80" s="59">
        <f t="shared" si="42"/>
        <v>112.5</v>
      </c>
      <c r="U80" s="59">
        <f t="shared" si="42"/>
        <v>272.5</v>
      </c>
      <c r="V80" s="59">
        <f t="shared" si="42"/>
        <v>125.5</v>
      </c>
      <c r="W80" s="59">
        <f t="shared" si="42"/>
        <v>219.9</v>
      </c>
      <c r="X80" s="59">
        <f t="shared" si="42"/>
        <v>246.2</v>
      </c>
      <c r="Y80" s="59">
        <f t="shared" si="42"/>
        <v>157.2</v>
      </c>
      <c r="Z80" s="59">
        <f t="shared" si="42"/>
        <v>80.7</v>
      </c>
      <c r="AA80" s="59">
        <f t="shared" si="42"/>
        <v>110.4</v>
      </c>
      <c r="AB80" s="30">
        <f t="shared" si="42"/>
        <v>1986.9000000000003</v>
      </c>
      <c r="AC80" s="29">
        <f>+AB80-O80</f>
        <v>-1142.1999999999996</v>
      </c>
      <c r="AD80" s="31">
        <f>+AC80/O80*100</f>
        <v>-36.50250870857434</v>
      </c>
      <c r="AE80" s="3"/>
    </row>
    <row r="81" spans="2:31" ht="16.5" customHeight="1">
      <c r="B81" s="65" t="s">
        <v>76</v>
      </c>
      <c r="C81" s="37">
        <v>120.6</v>
      </c>
      <c r="D81" s="38">
        <v>266.3</v>
      </c>
      <c r="E81" s="38">
        <v>243.4</v>
      </c>
      <c r="F81" s="38">
        <v>331</v>
      </c>
      <c r="G81" s="38">
        <v>308.1</v>
      </c>
      <c r="H81" s="38">
        <v>515.1</v>
      </c>
      <c r="I81" s="38">
        <v>361</v>
      </c>
      <c r="J81" s="38">
        <v>209.9</v>
      </c>
      <c r="K81" s="38">
        <v>254.7</v>
      </c>
      <c r="L81" s="38">
        <v>443</v>
      </c>
      <c r="M81" s="38">
        <v>28.9</v>
      </c>
      <c r="N81" s="38">
        <v>47.1</v>
      </c>
      <c r="O81" s="39">
        <f>SUM(C81:N81)</f>
        <v>3129.1</v>
      </c>
      <c r="P81" s="37">
        <v>159.6</v>
      </c>
      <c r="Q81" s="38">
        <v>163.5</v>
      </c>
      <c r="R81" s="38">
        <v>158.4</v>
      </c>
      <c r="S81" s="38">
        <v>180.5</v>
      </c>
      <c r="T81" s="38">
        <v>112.5</v>
      </c>
      <c r="U81" s="38">
        <v>272.5</v>
      </c>
      <c r="V81" s="38">
        <v>125.5</v>
      </c>
      <c r="W81" s="38">
        <v>219.9</v>
      </c>
      <c r="X81" s="38">
        <v>246.2</v>
      </c>
      <c r="Y81" s="38">
        <v>157.2</v>
      </c>
      <c r="Z81" s="38">
        <v>80.7</v>
      </c>
      <c r="AA81" s="38">
        <v>110.4</v>
      </c>
      <c r="AB81" s="39">
        <f>SUM(P81:AA81)</f>
        <v>1986.9000000000003</v>
      </c>
      <c r="AC81" s="40">
        <f>+AB81-O81</f>
        <v>-1142.1999999999996</v>
      </c>
      <c r="AD81" s="41">
        <f>+AC81/O81*100</f>
        <v>-36.50250870857434</v>
      </c>
      <c r="AE81" s="3"/>
    </row>
    <row r="82" spans="2:31" ht="16.5" customHeight="1">
      <c r="B82" s="65" t="s">
        <v>30</v>
      </c>
      <c r="C82" s="37">
        <v>0</v>
      </c>
      <c r="D82" s="38">
        <v>7.8</v>
      </c>
      <c r="E82" s="38">
        <v>1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9.2</v>
      </c>
      <c r="L82" s="38">
        <v>12.2</v>
      </c>
      <c r="M82" s="38">
        <v>0</v>
      </c>
      <c r="N82" s="38">
        <v>0.4</v>
      </c>
      <c r="O82" s="39">
        <f>SUM(C82:N82)</f>
        <v>30.599999999999998</v>
      </c>
      <c r="P82" s="37">
        <v>10.7</v>
      </c>
      <c r="Q82" s="38">
        <v>0</v>
      </c>
      <c r="R82" s="38">
        <v>13.4</v>
      </c>
      <c r="S82" s="38">
        <v>11.9</v>
      </c>
      <c r="T82" s="38">
        <v>10.4</v>
      </c>
      <c r="U82" s="38">
        <v>11.7</v>
      </c>
      <c r="V82" s="38">
        <v>0</v>
      </c>
      <c r="W82" s="38">
        <v>15.4</v>
      </c>
      <c r="X82" s="38">
        <v>12.4</v>
      </c>
      <c r="Y82" s="38">
        <v>17.9</v>
      </c>
      <c r="Z82" s="38">
        <v>18.2</v>
      </c>
      <c r="AA82" s="38">
        <v>13.5</v>
      </c>
      <c r="AB82" s="39">
        <f>SUM(P82:AA82)</f>
        <v>135.5</v>
      </c>
      <c r="AC82" s="40">
        <f>+AB82-O82</f>
        <v>104.9</v>
      </c>
      <c r="AD82" s="41">
        <f>+AC82/O82*100</f>
        <v>342.8104575163399</v>
      </c>
      <c r="AE82" s="3"/>
    </row>
    <row r="83" spans="2:31" ht="18" customHeight="1">
      <c r="B83" s="67" t="s">
        <v>77</v>
      </c>
      <c r="C83" s="59">
        <v>3</v>
      </c>
      <c r="D83" s="59">
        <v>5.1</v>
      </c>
      <c r="E83" s="59">
        <v>2.6</v>
      </c>
      <c r="F83" s="59">
        <v>5.3</v>
      </c>
      <c r="G83" s="59">
        <v>5.9</v>
      </c>
      <c r="H83" s="59">
        <v>20.9</v>
      </c>
      <c r="I83" s="59">
        <v>4.3</v>
      </c>
      <c r="J83" s="59">
        <v>186.5</v>
      </c>
      <c r="K83" s="59">
        <v>2.4</v>
      </c>
      <c r="L83" s="59">
        <v>4.2</v>
      </c>
      <c r="M83" s="59">
        <v>3</v>
      </c>
      <c r="N83" s="59">
        <v>203.7</v>
      </c>
      <c r="O83" s="30">
        <f>SUM(C83:N83)</f>
        <v>446.9</v>
      </c>
      <c r="P83" s="59">
        <v>6.6</v>
      </c>
      <c r="Q83" s="59">
        <v>18.7</v>
      </c>
      <c r="R83" s="59">
        <v>54.8</v>
      </c>
      <c r="S83" s="59">
        <v>7</v>
      </c>
      <c r="T83" s="59">
        <v>10.1</v>
      </c>
      <c r="U83" s="59">
        <v>7.9</v>
      </c>
      <c r="V83" s="59">
        <v>20.8</v>
      </c>
      <c r="W83" s="59">
        <v>10.9</v>
      </c>
      <c r="X83" s="59">
        <v>9</v>
      </c>
      <c r="Y83" s="59">
        <v>16</v>
      </c>
      <c r="Z83" s="59">
        <v>6.7</v>
      </c>
      <c r="AA83" s="59">
        <v>395.7</v>
      </c>
      <c r="AB83" s="30">
        <f>SUM(P83:AA83)</f>
        <v>564.1999999999999</v>
      </c>
      <c r="AC83" s="29">
        <f>+AB83-O83</f>
        <v>117.29999999999995</v>
      </c>
      <c r="AD83" s="31">
        <f>+AC83/O83*100</f>
        <v>26.247482658312816</v>
      </c>
      <c r="AE83" s="3"/>
    </row>
    <row r="84" spans="2:31" ht="20.25" customHeight="1">
      <c r="B84" s="57" t="s">
        <v>78</v>
      </c>
      <c r="C84" s="58">
        <v>0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30">
        <f>SUM(C84:N84)</f>
        <v>0</v>
      </c>
      <c r="P84" s="58">
        <v>5.9</v>
      </c>
      <c r="Q84" s="59">
        <v>0</v>
      </c>
      <c r="R84" s="59">
        <v>0.5</v>
      </c>
      <c r="S84" s="59">
        <v>10.3</v>
      </c>
      <c r="T84" s="59">
        <v>0.5</v>
      </c>
      <c r="U84" s="59">
        <v>-2.1</v>
      </c>
      <c r="V84" s="59">
        <v>-10.1</v>
      </c>
      <c r="W84" s="59">
        <v>-4.9</v>
      </c>
      <c r="X84" s="59">
        <v>-1.7</v>
      </c>
      <c r="Y84" s="59">
        <v>0</v>
      </c>
      <c r="Z84" s="59">
        <v>0</v>
      </c>
      <c r="AA84" s="59">
        <v>0</v>
      </c>
      <c r="AB84" s="30">
        <f>SUM(P84:AA84)</f>
        <v>-1.5999999999999968</v>
      </c>
      <c r="AC84" s="29">
        <f>+AB84-O84</f>
        <v>-1.5999999999999968</v>
      </c>
      <c r="AD84" s="31">
        <v>0</v>
      </c>
      <c r="AE84" s="3"/>
    </row>
    <row r="85" spans="2:31" ht="21.75" customHeight="1">
      <c r="B85" s="28" t="s">
        <v>102</v>
      </c>
      <c r="C85" s="58">
        <f aca="true" t="shared" si="43" ref="C85:AB85">+C86+C87</f>
        <v>0</v>
      </c>
      <c r="D85" s="59">
        <f t="shared" si="43"/>
        <v>0.7</v>
      </c>
      <c r="E85" s="59">
        <f t="shared" si="43"/>
        <v>1</v>
      </c>
      <c r="F85" s="59">
        <f t="shared" si="43"/>
        <v>0.1</v>
      </c>
      <c r="G85" s="59">
        <f t="shared" si="43"/>
        <v>0</v>
      </c>
      <c r="H85" s="59">
        <f t="shared" si="43"/>
        <v>0</v>
      </c>
      <c r="I85" s="59">
        <f t="shared" si="43"/>
        <v>0</v>
      </c>
      <c r="J85" s="59">
        <f t="shared" si="43"/>
        <v>0</v>
      </c>
      <c r="K85" s="59">
        <f t="shared" si="43"/>
        <v>0</v>
      </c>
      <c r="L85" s="59">
        <f t="shared" si="43"/>
        <v>0.2</v>
      </c>
      <c r="M85" s="59">
        <f t="shared" si="43"/>
        <v>0.1</v>
      </c>
      <c r="N85" s="59">
        <f t="shared" si="43"/>
        <v>0</v>
      </c>
      <c r="O85" s="59">
        <f t="shared" si="43"/>
        <v>2.1</v>
      </c>
      <c r="P85" s="58">
        <f t="shared" si="43"/>
        <v>0</v>
      </c>
      <c r="Q85" s="59">
        <f t="shared" si="43"/>
        <v>0</v>
      </c>
      <c r="R85" s="59">
        <f t="shared" si="43"/>
        <v>0</v>
      </c>
      <c r="S85" s="59">
        <f t="shared" si="43"/>
        <v>0.1</v>
      </c>
      <c r="T85" s="59">
        <f t="shared" si="43"/>
        <v>0</v>
      </c>
      <c r="U85" s="59">
        <f t="shared" si="43"/>
        <v>0</v>
      </c>
      <c r="V85" s="59">
        <f t="shared" si="43"/>
        <v>0</v>
      </c>
      <c r="W85" s="59">
        <f t="shared" si="43"/>
        <v>0</v>
      </c>
      <c r="X85" s="59">
        <f t="shared" si="43"/>
        <v>0</v>
      </c>
      <c r="Y85" s="59">
        <f t="shared" si="43"/>
        <v>0</v>
      </c>
      <c r="Z85" s="59">
        <f t="shared" si="43"/>
        <v>0</v>
      </c>
      <c r="AA85" s="59">
        <f t="shared" si="43"/>
        <v>0</v>
      </c>
      <c r="AB85" s="59">
        <f t="shared" si="43"/>
        <v>0.1</v>
      </c>
      <c r="AC85" s="58">
        <f>+AB85-O85</f>
        <v>-2</v>
      </c>
      <c r="AD85" s="60">
        <f>+AC85/O85*100</f>
        <v>-95.23809523809523</v>
      </c>
      <c r="AE85" s="3"/>
    </row>
    <row r="86" spans="2:31" ht="16.5" customHeight="1">
      <c r="B86" s="68" t="s">
        <v>79</v>
      </c>
      <c r="C86" s="37">
        <v>0</v>
      </c>
      <c r="D86" s="38">
        <v>0.7</v>
      </c>
      <c r="E86" s="38">
        <v>0</v>
      </c>
      <c r="F86" s="38">
        <v>0.1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0.2</v>
      </c>
      <c r="M86" s="38">
        <v>0.1</v>
      </c>
      <c r="N86" s="38">
        <v>0</v>
      </c>
      <c r="O86" s="39">
        <f>SUM(C86:N86)</f>
        <v>1.1</v>
      </c>
      <c r="P86" s="37">
        <v>0</v>
      </c>
      <c r="Q86" s="38">
        <v>0</v>
      </c>
      <c r="R86" s="38">
        <v>0</v>
      </c>
      <c r="S86" s="38">
        <v>0.1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9">
        <f>SUM(P86:AA86)</f>
        <v>0.1</v>
      </c>
      <c r="AC86" s="40">
        <f>+AB86-O86</f>
        <v>-1</v>
      </c>
      <c r="AD86" s="41">
        <f>+AC86/O86*100</f>
        <v>-90.9090909090909</v>
      </c>
      <c r="AE86" s="3"/>
    </row>
    <row r="87" spans="2:31" ht="17.25" customHeight="1">
      <c r="B87" s="68" t="s">
        <v>80</v>
      </c>
      <c r="C87" s="37">
        <v>0</v>
      </c>
      <c r="D87" s="38">
        <v>0</v>
      </c>
      <c r="E87" s="38">
        <v>1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9">
        <f>SUM(C87:N87)</f>
        <v>1</v>
      </c>
      <c r="P87" s="37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9">
        <f>SUM(P87:AA87)</f>
        <v>0</v>
      </c>
      <c r="AC87" s="40">
        <f>+AB87-O87</f>
        <v>-1</v>
      </c>
      <c r="AD87" s="41">
        <f>+AC87/O87*100</f>
        <v>-100</v>
      </c>
      <c r="AE87" s="3"/>
    </row>
    <row r="88" spans="2:31" ht="8.25" customHeight="1">
      <c r="B88" s="28"/>
      <c r="C88" s="58"/>
      <c r="D88" s="59"/>
      <c r="E88" s="69"/>
      <c r="F88" s="69"/>
      <c r="G88" s="69"/>
      <c r="H88" s="59"/>
      <c r="I88" s="59"/>
      <c r="J88" s="59"/>
      <c r="K88" s="59"/>
      <c r="L88" s="59"/>
      <c r="M88" s="59"/>
      <c r="N88" s="59"/>
      <c r="O88" s="30"/>
      <c r="P88" s="58"/>
      <c r="Q88" s="59"/>
      <c r="R88" s="69"/>
      <c r="S88" s="69"/>
      <c r="T88" s="69"/>
      <c r="U88" s="59"/>
      <c r="V88" s="59"/>
      <c r="W88" s="59"/>
      <c r="X88" s="59"/>
      <c r="Y88" s="59"/>
      <c r="Z88" s="59"/>
      <c r="AA88" s="59"/>
      <c r="AB88" s="30"/>
      <c r="AC88" s="29"/>
      <c r="AD88" s="31"/>
      <c r="AE88" s="3"/>
    </row>
    <row r="89" spans="2:31" ht="21" customHeight="1">
      <c r="B89" s="70" t="s">
        <v>81</v>
      </c>
      <c r="C89" s="71">
        <f aca="true" t="shared" si="44" ref="C89:AB89">+C14+C85</f>
        <v>10108.1</v>
      </c>
      <c r="D89" s="71">
        <f t="shared" si="44"/>
        <v>9340.900000000001</v>
      </c>
      <c r="E89" s="71">
        <f t="shared" si="44"/>
        <v>10526.199999999999</v>
      </c>
      <c r="F89" s="71">
        <f t="shared" si="44"/>
        <v>11346.199999999999</v>
      </c>
      <c r="G89" s="71">
        <f t="shared" si="44"/>
        <v>10113.099999999999</v>
      </c>
      <c r="H89" s="71">
        <f t="shared" si="44"/>
        <v>10098.199999999999</v>
      </c>
      <c r="I89" s="71">
        <f t="shared" si="44"/>
        <v>10932.199999999999</v>
      </c>
      <c r="J89" s="71">
        <f t="shared" si="44"/>
        <v>11497.699999999999</v>
      </c>
      <c r="K89" s="71">
        <f t="shared" si="44"/>
        <v>9812.2</v>
      </c>
      <c r="L89" s="71">
        <f t="shared" si="44"/>
        <v>9830.2</v>
      </c>
      <c r="M89" s="71">
        <f t="shared" si="44"/>
        <v>10423.300000000003</v>
      </c>
      <c r="N89" s="71">
        <f t="shared" si="44"/>
        <v>12217</v>
      </c>
      <c r="O89" s="72">
        <f t="shared" si="44"/>
        <v>126245.3</v>
      </c>
      <c r="P89" s="71">
        <f t="shared" si="44"/>
        <v>12309.199999999999</v>
      </c>
      <c r="Q89" s="71">
        <f t="shared" si="44"/>
        <v>10763.300000000001</v>
      </c>
      <c r="R89" s="71">
        <f t="shared" si="44"/>
        <v>12968.900000000001</v>
      </c>
      <c r="S89" s="71">
        <f t="shared" si="44"/>
        <v>13211.1</v>
      </c>
      <c r="T89" s="71">
        <f t="shared" si="44"/>
        <v>14880.399999999998</v>
      </c>
      <c r="U89" s="71">
        <f t="shared" si="44"/>
        <v>12652.499999999998</v>
      </c>
      <c r="V89" s="71">
        <f t="shared" si="44"/>
        <v>12591.299999999997</v>
      </c>
      <c r="W89" s="71">
        <f t="shared" si="44"/>
        <v>14478.000000000002</v>
      </c>
      <c r="X89" s="71">
        <f t="shared" si="44"/>
        <v>13701.3</v>
      </c>
      <c r="Y89" s="71">
        <f t="shared" si="44"/>
        <v>12702.5</v>
      </c>
      <c r="Z89" s="71">
        <f t="shared" si="44"/>
        <v>12712.300000000001</v>
      </c>
      <c r="AA89" s="71">
        <f t="shared" si="44"/>
        <v>15568.200000000003</v>
      </c>
      <c r="AB89" s="72">
        <f t="shared" si="44"/>
        <v>158539</v>
      </c>
      <c r="AC89" s="72">
        <f>+AB89-O89</f>
        <v>32293.699999999997</v>
      </c>
      <c r="AD89" s="71">
        <f>+AC89/O89*100</f>
        <v>25.580120606470096</v>
      </c>
      <c r="AE89" s="5"/>
    </row>
    <row r="90" spans="2:31" ht="10.5" customHeight="1">
      <c r="B90" s="73"/>
      <c r="C90" s="58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30"/>
      <c r="P90" s="58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30"/>
      <c r="AC90" s="29"/>
      <c r="AD90" s="31"/>
      <c r="AE90" s="3"/>
    </row>
    <row r="91" spans="2:31" ht="21" customHeight="1">
      <c r="B91" s="28" t="s">
        <v>82</v>
      </c>
      <c r="C91" s="58">
        <v>16</v>
      </c>
      <c r="D91" s="58">
        <v>65.4</v>
      </c>
      <c r="E91" s="59">
        <v>718.7</v>
      </c>
      <c r="F91" s="74">
        <v>27.2</v>
      </c>
      <c r="G91" s="74">
        <v>94.3</v>
      </c>
      <c r="H91" s="74">
        <v>48.7</v>
      </c>
      <c r="I91" s="59">
        <v>0.3</v>
      </c>
      <c r="J91" s="59">
        <v>12.1</v>
      </c>
      <c r="K91" s="59">
        <v>250.9</v>
      </c>
      <c r="L91" s="59">
        <v>18</v>
      </c>
      <c r="M91" s="59">
        <v>19.8</v>
      </c>
      <c r="N91" s="59">
        <v>719.4</v>
      </c>
      <c r="O91" s="30">
        <f>SUM(C91:N91)</f>
        <v>1990.8000000000002</v>
      </c>
      <c r="P91" s="58">
        <v>51.8</v>
      </c>
      <c r="Q91" s="58">
        <v>0.1</v>
      </c>
      <c r="R91" s="59">
        <v>737</v>
      </c>
      <c r="S91" s="74">
        <v>0.5</v>
      </c>
      <c r="T91" s="74">
        <v>78.7</v>
      </c>
      <c r="U91" s="74">
        <v>681.3</v>
      </c>
      <c r="V91" s="59">
        <v>28.3</v>
      </c>
      <c r="W91" s="59">
        <v>13.7</v>
      </c>
      <c r="X91" s="59">
        <v>415.5</v>
      </c>
      <c r="Y91" s="59">
        <v>170.9</v>
      </c>
      <c r="Z91" s="59">
        <v>3</v>
      </c>
      <c r="AA91" s="59">
        <v>436.5</v>
      </c>
      <c r="AB91" s="30">
        <f>SUM(P91:AA91)</f>
        <v>2617.3</v>
      </c>
      <c r="AC91" s="29">
        <f aca="true" t="shared" si="45" ref="AC91:AC100">+AB91-O91</f>
        <v>626.5</v>
      </c>
      <c r="AD91" s="31">
        <f>+AC91/O91*100</f>
        <v>31.469760900140642</v>
      </c>
      <c r="AE91" s="3"/>
    </row>
    <row r="92" spans="2:31" ht="23.25" customHeight="1">
      <c r="B92" s="28" t="s">
        <v>83</v>
      </c>
      <c r="C92" s="58">
        <f aca="true" t="shared" si="46" ref="C92:AB92">+C93+C94</f>
        <v>136.3</v>
      </c>
      <c r="D92" s="59">
        <f t="shared" si="46"/>
        <v>1733.9</v>
      </c>
      <c r="E92" s="59">
        <f t="shared" si="46"/>
        <v>145.7</v>
      </c>
      <c r="F92" s="59">
        <f t="shared" si="46"/>
        <v>1606.5</v>
      </c>
      <c r="G92" s="59">
        <f t="shared" si="46"/>
        <v>105.7</v>
      </c>
      <c r="H92" s="59">
        <f t="shared" si="46"/>
        <v>63.5</v>
      </c>
      <c r="I92" s="59">
        <f t="shared" si="46"/>
        <v>95.6</v>
      </c>
      <c r="J92" s="59">
        <f t="shared" si="46"/>
        <v>36.7</v>
      </c>
      <c r="K92" s="59">
        <f t="shared" si="46"/>
        <v>95.7</v>
      </c>
      <c r="L92" s="59">
        <f t="shared" si="46"/>
        <v>59</v>
      </c>
      <c r="M92" s="59">
        <f t="shared" si="46"/>
        <v>1010.7</v>
      </c>
      <c r="N92" s="59">
        <f t="shared" si="46"/>
        <v>2866.4</v>
      </c>
      <c r="O92" s="59">
        <f t="shared" si="46"/>
        <v>7955.699999999999</v>
      </c>
      <c r="P92" s="58">
        <f t="shared" si="46"/>
        <v>69.4</v>
      </c>
      <c r="Q92" s="59">
        <f t="shared" si="46"/>
        <v>112.3</v>
      </c>
      <c r="R92" s="59">
        <f t="shared" si="46"/>
        <v>3053.4</v>
      </c>
      <c r="S92" s="59">
        <f t="shared" si="46"/>
        <v>2839.3</v>
      </c>
      <c r="T92" s="59">
        <f t="shared" si="46"/>
        <v>997.4</v>
      </c>
      <c r="U92" s="59">
        <f t="shared" si="46"/>
        <v>175.5</v>
      </c>
      <c r="V92" s="59">
        <f t="shared" si="46"/>
        <v>272.2</v>
      </c>
      <c r="W92" s="59">
        <f t="shared" si="46"/>
        <v>867.6</v>
      </c>
      <c r="X92" s="59">
        <f t="shared" si="46"/>
        <v>368.7</v>
      </c>
      <c r="Y92" s="59">
        <f t="shared" si="46"/>
        <v>902.4</v>
      </c>
      <c r="Z92" s="59">
        <f t="shared" si="46"/>
        <v>478.9</v>
      </c>
      <c r="AA92" s="59">
        <f t="shared" si="46"/>
        <v>12345.6</v>
      </c>
      <c r="AB92" s="59">
        <f t="shared" si="46"/>
        <v>22482.658099999997</v>
      </c>
      <c r="AC92" s="58">
        <f t="shared" si="45"/>
        <v>14526.958099999998</v>
      </c>
      <c r="AD92" s="60">
        <f>+AC92/O92*100</f>
        <v>182.59811330241212</v>
      </c>
      <c r="AE92" s="3"/>
    </row>
    <row r="93" spans="2:31" ht="20.25" customHeight="1">
      <c r="B93" s="75" t="s">
        <v>84</v>
      </c>
      <c r="C93" s="33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53">
        <f>SUM(C93:N93)</f>
        <v>0</v>
      </c>
      <c r="P93" s="33">
        <v>0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250</v>
      </c>
      <c r="Y93" s="34">
        <v>0</v>
      </c>
      <c r="Z93" s="34">
        <v>0</v>
      </c>
      <c r="AA93" s="34">
        <v>50</v>
      </c>
      <c r="AB93" s="53">
        <f>SUM(P93:AA93)</f>
        <v>300</v>
      </c>
      <c r="AC93" s="54">
        <f t="shared" si="45"/>
        <v>300</v>
      </c>
      <c r="AD93" s="55">
        <v>100</v>
      </c>
      <c r="AE93" s="3"/>
    </row>
    <row r="94" spans="2:31" ht="22.5" customHeight="1">
      <c r="B94" s="75" t="s">
        <v>85</v>
      </c>
      <c r="C94" s="33">
        <f aca="true" t="shared" si="47" ref="C94:N94">ROUND(+C95+C96+C97,1)</f>
        <v>136.3</v>
      </c>
      <c r="D94" s="34">
        <f t="shared" si="47"/>
        <v>1733.9</v>
      </c>
      <c r="E94" s="34">
        <f t="shared" si="47"/>
        <v>145.7</v>
      </c>
      <c r="F94" s="34">
        <f t="shared" si="47"/>
        <v>1606.5</v>
      </c>
      <c r="G94" s="34">
        <f t="shared" si="47"/>
        <v>105.7</v>
      </c>
      <c r="H94" s="34">
        <f t="shared" si="47"/>
        <v>63.5</v>
      </c>
      <c r="I94" s="34">
        <f t="shared" si="47"/>
        <v>95.6</v>
      </c>
      <c r="J94" s="34">
        <f t="shared" si="47"/>
        <v>36.7</v>
      </c>
      <c r="K94" s="34">
        <f t="shared" si="47"/>
        <v>95.7</v>
      </c>
      <c r="L94" s="34">
        <f t="shared" si="47"/>
        <v>59</v>
      </c>
      <c r="M94" s="34">
        <f t="shared" si="47"/>
        <v>1010.7</v>
      </c>
      <c r="N94" s="34">
        <f t="shared" si="47"/>
        <v>2866.4</v>
      </c>
      <c r="O94" s="34">
        <f>+O95+O96+O97</f>
        <v>7955.699999999999</v>
      </c>
      <c r="P94" s="33">
        <f aca="true" t="shared" si="48" ref="P94:AA94">ROUND(+P95+P96+P97,1)</f>
        <v>69.4</v>
      </c>
      <c r="Q94" s="34">
        <f t="shared" si="48"/>
        <v>112.3</v>
      </c>
      <c r="R94" s="34">
        <f t="shared" si="48"/>
        <v>3053.4</v>
      </c>
      <c r="S94" s="34">
        <f t="shared" si="48"/>
        <v>2839.3</v>
      </c>
      <c r="T94" s="34">
        <f t="shared" si="48"/>
        <v>997.4</v>
      </c>
      <c r="U94" s="34">
        <f t="shared" si="48"/>
        <v>175.5</v>
      </c>
      <c r="V94" s="34">
        <f t="shared" si="48"/>
        <v>272.2</v>
      </c>
      <c r="W94" s="34">
        <f t="shared" si="48"/>
        <v>867.6</v>
      </c>
      <c r="X94" s="34">
        <f t="shared" si="48"/>
        <v>118.7</v>
      </c>
      <c r="Y94" s="34">
        <f t="shared" si="48"/>
        <v>902.4</v>
      </c>
      <c r="Z94" s="34">
        <f t="shared" si="48"/>
        <v>478.9</v>
      </c>
      <c r="AA94" s="34">
        <f t="shared" si="48"/>
        <v>12295.6</v>
      </c>
      <c r="AB94" s="34">
        <f>+AB95+AB96+AB97</f>
        <v>22182.658099999997</v>
      </c>
      <c r="AC94" s="33">
        <f t="shared" si="45"/>
        <v>14226.958099999998</v>
      </c>
      <c r="AD94" s="35">
        <f>+AC94/O94*100</f>
        <v>178.82723204746281</v>
      </c>
      <c r="AE94" s="3"/>
    </row>
    <row r="95" spans="2:49" ht="19.5" customHeight="1">
      <c r="B95" s="76" t="s">
        <v>86</v>
      </c>
      <c r="C95" s="43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900</v>
      </c>
      <c r="N95" s="44">
        <v>2707.7</v>
      </c>
      <c r="O95" s="49">
        <f>SUM(C95:N95)</f>
        <v>3607.7</v>
      </c>
      <c r="P95" s="43">
        <v>0</v>
      </c>
      <c r="Q95" s="44">
        <v>0</v>
      </c>
      <c r="R95" s="44">
        <v>1500</v>
      </c>
      <c r="S95" s="44">
        <v>1178.2</v>
      </c>
      <c r="T95" s="44">
        <v>0</v>
      </c>
      <c r="U95" s="44">
        <v>2.2</v>
      </c>
      <c r="V95" s="44">
        <v>0</v>
      </c>
      <c r="W95" s="44">
        <v>26.4</v>
      </c>
      <c r="X95" s="44">
        <v>0</v>
      </c>
      <c r="Y95" s="44">
        <v>0</v>
      </c>
      <c r="Z95" s="44">
        <v>31.5</v>
      </c>
      <c r="AA95" s="44">
        <v>0</v>
      </c>
      <c r="AB95" s="49">
        <f>SUM(P95:AA95)</f>
        <v>2738.2999999999997</v>
      </c>
      <c r="AC95" s="50">
        <f t="shared" si="45"/>
        <v>-869.4000000000001</v>
      </c>
      <c r="AD95" s="51">
        <f>+AC95/O95*100</f>
        <v>-24.098456080051005</v>
      </c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spans="2:49" ht="17.25" customHeight="1">
      <c r="B96" s="76" t="s">
        <v>87</v>
      </c>
      <c r="C96" s="43">
        <v>136.3</v>
      </c>
      <c r="D96" s="44">
        <v>1733.9</v>
      </c>
      <c r="E96" s="44">
        <v>145.7</v>
      </c>
      <c r="F96" s="44">
        <v>1606.5</v>
      </c>
      <c r="G96" s="44">
        <v>105.7</v>
      </c>
      <c r="H96" s="44">
        <v>63.5</v>
      </c>
      <c r="I96" s="44">
        <v>95.6</v>
      </c>
      <c r="J96" s="44">
        <v>36.7</v>
      </c>
      <c r="K96" s="44">
        <v>95.7</v>
      </c>
      <c r="L96" s="44">
        <v>59</v>
      </c>
      <c r="M96" s="44">
        <v>110.7</v>
      </c>
      <c r="N96" s="44">
        <v>158.7</v>
      </c>
      <c r="O96" s="49">
        <f>SUM(C96:N96)</f>
        <v>4347.999999999999</v>
      </c>
      <c r="P96" s="43">
        <v>69.4</v>
      </c>
      <c r="Q96" s="44">
        <v>112.3</v>
      </c>
      <c r="R96" s="44">
        <v>1553.4</v>
      </c>
      <c r="S96" s="44">
        <v>1661.1</v>
      </c>
      <c r="T96" s="44">
        <v>997.4</v>
      </c>
      <c r="U96" s="44">
        <v>173.3</v>
      </c>
      <c r="V96" s="44">
        <v>272.2</v>
      </c>
      <c r="W96" s="44">
        <v>841.2</v>
      </c>
      <c r="X96" s="44">
        <v>118.7</v>
      </c>
      <c r="Y96" s="44">
        <v>902.3581000000001</v>
      </c>
      <c r="Z96" s="44">
        <v>447.4</v>
      </c>
      <c r="AA96" s="44">
        <v>10411.6</v>
      </c>
      <c r="AB96" s="49">
        <f>SUM(P96:AA96)</f>
        <v>17560.358099999998</v>
      </c>
      <c r="AC96" s="50">
        <f t="shared" si="45"/>
        <v>13212.358099999998</v>
      </c>
      <c r="AD96" s="51">
        <f>+AC96/O96*100</f>
        <v>303.87208141674336</v>
      </c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spans="2:49" ht="15.75" customHeight="1">
      <c r="B97" s="76" t="s">
        <v>88</v>
      </c>
      <c r="C97" s="43">
        <f aca="true" t="shared" si="49" ref="C97:AB97">+C98+C99</f>
        <v>0</v>
      </c>
      <c r="D97" s="43">
        <f t="shared" si="49"/>
        <v>0</v>
      </c>
      <c r="E97" s="43">
        <f t="shared" si="49"/>
        <v>0</v>
      </c>
      <c r="F97" s="43">
        <f t="shared" si="49"/>
        <v>0</v>
      </c>
      <c r="G97" s="43">
        <f t="shared" si="49"/>
        <v>0</v>
      </c>
      <c r="H97" s="43">
        <f t="shared" si="49"/>
        <v>0</v>
      </c>
      <c r="I97" s="43">
        <f t="shared" si="49"/>
        <v>0</v>
      </c>
      <c r="J97" s="43">
        <f t="shared" si="49"/>
        <v>0</v>
      </c>
      <c r="K97" s="43">
        <f t="shared" si="49"/>
        <v>0</v>
      </c>
      <c r="L97" s="43">
        <f t="shared" si="49"/>
        <v>0</v>
      </c>
      <c r="M97" s="43">
        <f t="shared" si="49"/>
        <v>0</v>
      </c>
      <c r="N97" s="43">
        <f t="shared" si="49"/>
        <v>0</v>
      </c>
      <c r="O97" s="44">
        <f t="shared" si="49"/>
        <v>0</v>
      </c>
      <c r="P97" s="43">
        <f t="shared" si="49"/>
        <v>0</v>
      </c>
      <c r="Q97" s="43">
        <f t="shared" si="49"/>
        <v>0</v>
      </c>
      <c r="R97" s="43">
        <f t="shared" si="49"/>
        <v>0</v>
      </c>
      <c r="S97" s="43">
        <f t="shared" si="49"/>
        <v>0</v>
      </c>
      <c r="T97" s="43">
        <f t="shared" si="49"/>
        <v>0</v>
      </c>
      <c r="U97" s="43">
        <f t="shared" si="49"/>
        <v>0</v>
      </c>
      <c r="V97" s="43">
        <f t="shared" si="49"/>
        <v>0</v>
      </c>
      <c r="W97" s="43">
        <f t="shared" si="49"/>
        <v>0</v>
      </c>
      <c r="X97" s="43">
        <f t="shared" si="49"/>
        <v>0</v>
      </c>
      <c r="Y97" s="43">
        <f t="shared" si="49"/>
        <v>0</v>
      </c>
      <c r="Z97" s="43">
        <f t="shared" si="49"/>
        <v>0</v>
      </c>
      <c r="AA97" s="43">
        <f t="shared" si="49"/>
        <v>1884</v>
      </c>
      <c r="AB97" s="44">
        <f t="shared" si="49"/>
        <v>1884</v>
      </c>
      <c r="AC97" s="43">
        <f t="shared" si="45"/>
        <v>1884</v>
      </c>
      <c r="AD97" s="45">
        <v>100</v>
      </c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spans="2:49" ht="15.75" customHeight="1">
      <c r="B98" s="47" t="s">
        <v>89</v>
      </c>
      <c r="C98" s="37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7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390.6</v>
      </c>
      <c r="AB98" s="39">
        <f>SUM(P98:AA98)</f>
        <v>390.6</v>
      </c>
      <c r="AC98" s="40">
        <f t="shared" si="45"/>
        <v>390.6</v>
      </c>
      <c r="AD98" s="41">
        <v>100</v>
      </c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spans="2:31" ht="17.25" customHeight="1">
      <c r="B99" s="47" t="s">
        <v>90</v>
      </c>
      <c r="C99" s="37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9">
        <f>SUM(C99:N99)</f>
        <v>0</v>
      </c>
      <c r="P99" s="37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0</v>
      </c>
      <c r="AA99" s="37">
        <v>1493.4</v>
      </c>
      <c r="AB99" s="77">
        <f>SUM(P99:AA99)</f>
        <v>1493.4</v>
      </c>
      <c r="AC99" s="78">
        <f t="shared" si="45"/>
        <v>1493.4</v>
      </c>
      <c r="AD99" s="41">
        <v>100</v>
      </c>
      <c r="AE99" s="3"/>
    </row>
    <row r="100" spans="2:31" ht="22.5" customHeight="1" thickBot="1">
      <c r="B100" s="79" t="s">
        <v>81</v>
      </c>
      <c r="C100" s="80">
        <f aca="true" t="shared" si="50" ref="C100:AB100">+C92+C89+C91</f>
        <v>10260.4</v>
      </c>
      <c r="D100" s="80">
        <f t="shared" si="50"/>
        <v>11140.2</v>
      </c>
      <c r="E100" s="80">
        <f t="shared" si="50"/>
        <v>11390.6</v>
      </c>
      <c r="F100" s="80">
        <f t="shared" si="50"/>
        <v>12979.9</v>
      </c>
      <c r="G100" s="80">
        <f t="shared" si="50"/>
        <v>10313.099999999999</v>
      </c>
      <c r="H100" s="80">
        <f t="shared" si="50"/>
        <v>10210.4</v>
      </c>
      <c r="I100" s="80">
        <f t="shared" si="50"/>
        <v>11028.099999999999</v>
      </c>
      <c r="J100" s="80">
        <f t="shared" si="50"/>
        <v>11546.5</v>
      </c>
      <c r="K100" s="80">
        <f t="shared" si="50"/>
        <v>10158.800000000001</v>
      </c>
      <c r="L100" s="80">
        <f t="shared" si="50"/>
        <v>9907.2</v>
      </c>
      <c r="M100" s="80">
        <f t="shared" si="50"/>
        <v>11453.800000000003</v>
      </c>
      <c r="N100" s="80">
        <f t="shared" si="50"/>
        <v>15802.8</v>
      </c>
      <c r="O100" s="81">
        <f t="shared" si="50"/>
        <v>136191.8</v>
      </c>
      <c r="P100" s="80">
        <f t="shared" si="50"/>
        <v>12430.399999999998</v>
      </c>
      <c r="Q100" s="80">
        <f t="shared" si="50"/>
        <v>10875.7</v>
      </c>
      <c r="R100" s="80">
        <f t="shared" si="50"/>
        <v>16759.300000000003</v>
      </c>
      <c r="S100" s="80">
        <f t="shared" si="50"/>
        <v>16050.900000000001</v>
      </c>
      <c r="T100" s="80">
        <f t="shared" si="50"/>
        <v>15956.499999999998</v>
      </c>
      <c r="U100" s="80">
        <f t="shared" si="50"/>
        <v>13509.299999999997</v>
      </c>
      <c r="V100" s="80">
        <f t="shared" si="50"/>
        <v>12891.799999999997</v>
      </c>
      <c r="W100" s="80">
        <f t="shared" si="50"/>
        <v>15359.300000000003</v>
      </c>
      <c r="X100" s="80">
        <f t="shared" si="50"/>
        <v>14485.5</v>
      </c>
      <c r="Y100" s="80">
        <f t="shared" si="50"/>
        <v>13775.8</v>
      </c>
      <c r="Z100" s="80">
        <f t="shared" si="50"/>
        <v>13194.2</v>
      </c>
      <c r="AA100" s="80">
        <f t="shared" si="50"/>
        <v>28350.300000000003</v>
      </c>
      <c r="AB100" s="82">
        <f t="shared" si="50"/>
        <v>183638.9581</v>
      </c>
      <c r="AC100" s="82">
        <f t="shared" si="45"/>
        <v>47447.1581</v>
      </c>
      <c r="AD100" s="80">
        <f>+AC100/O100*100</f>
        <v>34.83848374131189</v>
      </c>
      <c r="AE100" s="5"/>
    </row>
    <row r="101" spans="2:31" ht="3.75" customHeight="1" thickTop="1">
      <c r="B101" s="83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5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7.25" customHeight="1">
      <c r="B102" s="85" t="s">
        <v>91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3"/>
    </row>
    <row r="103" spans="2:43" ht="12" customHeight="1">
      <c r="B103" s="85" t="s">
        <v>92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</row>
    <row r="104" spans="2:31" ht="13.5" customHeight="1">
      <c r="B104" s="85" t="s">
        <v>93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87"/>
      <c r="AC104" s="3"/>
      <c r="AD104" s="3"/>
      <c r="AE104" s="3"/>
    </row>
    <row r="105" spans="2:31" ht="24.75" customHeight="1">
      <c r="B105" s="92" t="s">
        <v>94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2.75">
      <c r="B106" s="94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2.75">
      <c r="B107" s="95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97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2.75">
      <c r="B109" s="97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2.75">
      <c r="B110" s="94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2.75"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2.75"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2.75"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2.75"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2.75"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2.75"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2.75">
      <c r="B117" s="97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5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2.75">
      <c r="B118" s="97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2.75">
      <c r="B119" s="97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2.75"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5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2.75"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5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2.75"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5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2.75"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2.75">
      <c r="B124" s="97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5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2.75">
      <c r="B125" s="97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5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2.75"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5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2.75">
      <c r="B127" s="97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5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2.75">
      <c r="B128" s="97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5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2.75">
      <c r="B129" s="97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5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2.75">
      <c r="B130" s="97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5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2.75"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5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2.75"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5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5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2.75"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5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2.75"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5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2.75"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5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2.75"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5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2.75"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5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5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5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5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5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5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5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5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5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5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5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5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2.75"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5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2.75"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5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5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5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5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2.75"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5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5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5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2.75"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5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2.75"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5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5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5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2.75"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5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2.75"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5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2.75"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5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2.75"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5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2.75"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5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2.75"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5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5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2.75"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5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2.75"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5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2.75"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5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2.75"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5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2.75"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5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5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5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5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5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5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5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5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5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5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5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2.75"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5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2.75"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5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2.75"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5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2.75"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5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2.75"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5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5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5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5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5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5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2.75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5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2.75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5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2.75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5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2.75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5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2.75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5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2.75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5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5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5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5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2.75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5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2.75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5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2.75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5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2.75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5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5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5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2.75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5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2.75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5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2.75"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5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5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2.75"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5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5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5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2.75"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5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2.75"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5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2.75"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5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2.75"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5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2.75"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5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5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31" ht="12.75"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5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2:31" ht="12.75"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5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2:31" ht="12.75"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5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2:31" ht="12.75"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5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2:31" ht="12.75"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5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2:15" ht="12.75"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</row>
    <row r="229" spans="2:15" ht="12.75"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</row>
    <row r="230" spans="2:15" ht="12.75"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</row>
    <row r="231" spans="2:15" ht="12.75"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</row>
    <row r="232" spans="2:15" ht="12.75"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</row>
    <row r="233" spans="2:15" ht="12.75"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</row>
    <row r="234" spans="2:15" ht="12.75"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</row>
    <row r="235" spans="2:15" ht="12.75"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</row>
    <row r="236" spans="2:15" ht="12.75"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</row>
    <row r="237" spans="2:15" ht="12.75"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</row>
    <row r="238" spans="2:15" ht="12.75"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</row>
    <row r="239" spans="2:15" ht="12.75"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</row>
    <row r="240" spans="2:15" ht="12.75"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</row>
    <row r="241" spans="2:15" ht="12.75"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</row>
    <row r="242" spans="2:15" ht="12.75"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</row>
    <row r="243" spans="2:15" ht="12.75"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</row>
    <row r="244" spans="2:15" ht="12.75"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</row>
    <row r="245" spans="2:15" ht="12.75"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</row>
    <row r="246" spans="2:15" ht="12.75"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</row>
    <row r="247" spans="2:15" ht="12.75"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</row>
    <row r="248" spans="2:15" ht="12.75"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</row>
    <row r="249" spans="2:15" ht="12.75"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</row>
    <row r="250" spans="2:15" ht="12.75"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</row>
    <row r="251" spans="2:15" ht="12.75"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</row>
    <row r="252" spans="2:15" ht="12.75"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</row>
    <row r="253" spans="2:15" ht="12.75"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</row>
    <row r="254" spans="2:15" ht="12.75"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</row>
    <row r="255" spans="2:15" ht="12.75"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</row>
    <row r="256" spans="2:15" ht="12.75"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</row>
    <row r="257" spans="2:15" ht="12.75"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</row>
    <row r="258" spans="2:15" ht="12.75"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</row>
    <row r="259" spans="2:15" ht="12.75"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</row>
    <row r="260" spans="2:15" ht="12.75"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</row>
    <row r="261" spans="2:15" ht="12.75"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</row>
    <row r="262" spans="2:15" ht="12.75"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</row>
    <row r="263" spans="2:15" ht="12.75"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</row>
    <row r="264" spans="2:15" ht="12.75"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</row>
    <row r="265" spans="2:15" ht="12.75"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</row>
    <row r="266" spans="2:15" ht="12.75"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</row>
  </sheetData>
  <mergeCells count="13">
    <mergeCell ref="B2:AD2"/>
    <mergeCell ref="B3:AD3"/>
    <mergeCell ref="B4:AD4"/>
    <mergeCell ref="AB11:AB12"/>
    <mergeCell ref="AC11:AD11"/>
    <mergeCell ref="B5:AD5"/>
    <mergeCell ref="B7:AD7"/>
    <mergeCell ref="B8:AD8"/>
    <mergeCell ref="B9:AD9"/>
    <mergeCell ref="B11:B12"/>
    <mergeCell ref="C11:N11"/>
    <mergeCell ref="O11:O12"/>
    <mergeCell ref="P11:AA11"/>
  </mergeCells>
  <printOptions horizontalCentered="1"/>
  <pageMargins left="0.1968503937007874" right="0" top="0.5905511811023623" bottom="0" header="0" footer="0"/>
  <pageSetup fitToHeight="2" fitToWidth="1" horizontalDpi="300" verticalDpi="3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2010-05-06T14:46:06Z</dcterms:created>
  <dcterms:modified xsi:type="dcterms:W3CDTF">2010-05-06T14:49:31Z</dcterms:modified>
  <cp:category/>
  <cp:version/>
  <cp:contentType/>
  <cp:contentStatus/>
</cp:coreProperties>
</file>